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BDA500F4-D1EE-4009-A638-CA31617419B6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1" sheetId="22" r:id="rId9"/>
    <sheet name="NL12" sheetId="14" r:id="rId10"/>
    <sheet name="NL13" sheetId="15" r:id="rId11"/>
    <sheet name="NL14" sheetId="16" r:id="rId12"/>
    <sheet name="NL15" sheetId="17" r:id="rId13"/>
    <sheet name="NL17" sheetId="18" r:id="rId14"/>
    <sheet name="NL18" sheetId="19" r:id="rId15"/>
    <sheet name="NL20" sheetId="4" r:id="rId16"/>
    <sheet name="NL26" sheetId="5" r:id="rId17"/>
    <sheet name="NL33" sheetId="2" r:id="rId18"/>
    <sheet name="NL36" sheetId="6" r:id="rId19"/>
    <sheet name="NL44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11" i="10" l="1"/>
  <c r="AQ110" i="10"/>
  <c r="AQ109" i="10"/>
  <c r="AQ108" i="10"/>
  <c r="AQ107" i="10"/>
  <c r="AQ106" i="10"/>
  <c r="AQ105" i="10"/>
  <c r="AQ111" i="9"/>
  <c r="AQ110" i="9"/>
  <c r="AQ109" i="9"/>
  <c r="AQ108" i="9"/>
  <c r="AQ107" i="9"/>
  <c r="AQ106" i="9"/>
  <c r="AQ105" i="9"/>
  <c r="AM19" i="14" l="1"/>
  <c r="BN35" i="14"/>
  <c r="BM35" i="14"/>
  <c r="BN19" i="14"/>
  <c r="BM19" i="14"/>
  <c r="AW23" i="7"/>
  <c r="AS23" i="7" l="1"/>
  <c r="AQ24" i="7"/>
  <c r="AQ22" i="7"/>
  <c r="AQ20" i="7"/>
  <c r="AA23" i="7"/>
  <c r="Z23" i="7"/>
  <c r="Y23" i="7"/>
  <c r="X23" i="7"/>
  <c r="W23" i="7"/>
  <c r="V23" i="7"/>
  <c r="CC19" i="14"/>
  <c r="CB19" i="14"/>
  <c r="BC23" i="7"/>
  <c r="BB23" i="7"/>
  <c r="AQ111" i="11"/>
  <c r="AQ110" i="11"/>
  <c r="AQ109" i="11"/>
  <c r="AQ108" i="11"/>
  <c r="AQ107" i="11"/>
  <c r="AQ106" i="11"/>
  <c r="AQ105" i="11"/>
  <c r="BE23" i="7"/>
  <c r="BD23" i="7"/>
  <c r="EN16" i="2"/>
  <c r="EM16" i="2"/>
  <c r="BM34" i="10"/>
  <c r="BM33" i="10"/>
  <c r="BM32" i="10"/>
  <c r="BM31" i="10"/>
  <c r="BM30" i="10"/>
  <c r="BM29" i="10"/>
  <c r="BM28" i="10"/>
  <c r="CO19" i="14"/>
  <c r="CN19" i="14"/>
  <c r="CN20" i="14" s="1"/>
  <c r="BJ23" i="7"/>
  <c r="AD19" i="14"/>
  <c r="AC19" i="14"/>
  <c r="U23" i="7"/>
  <c r="T23" i="7"/>
  <c r="Q111" i="11"/>
  <c r="Q110" i="11"/>
  <c r="Q109" i="11"/>
  <c r="Q108" i="11"/>
  <c r="Q107" i="11"/>
  <c r="Q106" i="11"/>
  <c r="Q105" i="11"/>
  <c r="Q111" i="10"/>
  <c r="Q110" i="10"/>
  <c r="Q109" i="10"/>
  <c r="Q108" i="10"/>
  <c r="Q107" i="10"/>
  <c r="Q106" i="10"/>
  <c r="Q105" i="10"/>
  <c r="Q111" i="9"/>
  <c r="Q110" i="9"/>
  <c r="Q109" i="9"/>
  <c r="Q108" i="9"/>
  <c r="Q107" i="9"/>
  <c r="Q106" i="9"/>
  <c r="Q105" i="9"/>
  <c r="Q24" i="7"/>
  <c r="Q22" i="7"/>
  <c r="Q20" i="7"/>
  <c r="Q23" i="7"/>
  <c r="P23" i="7"/>
  <c r="R35" i="14"/>
  <c r="R31" i="14"/>
  <c r="R15" i="14"/>
  <c r="Q31" i="14"/>
  <c r="Q15" i="14"/>
  <c r="K23" i="7"/>
  <c r="J23" i="7"/>
  <c r="E31" i="14"/>
  <c r="F18" i="14"/>
  <c r="BM29" i="11"/>
  <c r="BM28" i="11"/>
  <c r="BM23" i="11"/>
  <c r="BM22" i="11"/>
  <c r="BM21" i="11"/>
  <c r="BM20" i="11"/>
  <c r="BM23" i="10"/>
  <c r="BM22" i="10"/>
  <c r="BM21" i="10"/>
  <c r="BM20" i="10"/>
  <c r="BM29" i="9"/>
  <c r="BM28" i="9"/>
  <c r="BM23" i="9"/>
  <c r="BM22" i="9"/>
  <c r="BM21" i="9"/>
  <c r="BM20" i="9"/>
  <c r="AF9" i="8"/>
  <c r="AE9" i="8"/>
  <c r="AD9" i="8"/>
  <c r="AC9" i="8"/>
  <c r="AB9" i="8"/>
  <c r="AA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BM23" i="7"/>
  <c r="BM21" i="7"/>
  <c r="J7" i="19" l="1"/>
  <c r="Q15" i="12"/>
  <c r="AB15" i="18"/>
  <c r="DU11" i="6"/>
  <c r="DT11" i="6"/>
  <c r="DS11" i="6"/>
  <c r="DR11" i="6"/>
  <c r="AF15" i="18"/>
  <c r="DQ11" i="6"/>
  <c r="DP11" i="6"/>
  <c r="DO11" i="6"/>
  <c r="DN11" i="6"/>
  <c r="AE8" i="19"/>
  <c r="AE15" i="18"/>
  <c r="AD8" i="19"/>
  <c r="AD15" i="18"/>
  <c r="AD15" i="16"/>
  <c r="AC15" i="18"/>
  <c r="AC7" i="13"/>
  <c r="CY11" i="6"/>
  <c r="CY12" i="6" s="1"/>
  <c r="CX11" i="6"/>
  <c r="AA8" i="19"/>
  <c r="AA15" i="18"/>
  <c r="Z15" i="18"/>
  <c r="CS11" i="6"/>
  <c r="CR11" i="6"/>
  <c r="CQ11" i="6"/>
  <c r="CP11" i="6"/>
  <c r="CO11" i="6"/>
  <c r="CN11" i="6"/>
  <c r="CM11" i="6"/>
  <c r="CL11" i="6"/>
  <c r="X15" i="18"/>
  <c r="X11" i="16"/>
  <c r="CK11" i="6"/>
  <c r="CJ11" i="6"/>
  <c r="CI11" i="6"/>
  <c r="CH11" i="6"/>
  <c r="W7" i="19"/>
  <c r="W15" i="18"/>
  <c r="CG11" i="6"/>
  <c r="CF11" i="6"/>
  <c r="CE11" i="6"/>
  <c r="CD11" i="6"/>
  <c r="CC11" i="6"/>
  <c r="CB11" i="6"/>
  <c r="CA11" i="6"/>
  <c r="BZ11" i="6"/>
  <c r="S8" i="19"/>
  <c r="S15" i="18"/>
  <c r="BU11" i="6"/>
  <c r="BT11" i="6"/>
  <c r="BS11" i="6"/>
  <c r="BR11" i="6"/>
  <c r="U15" i="18"/>
  <c r="U11" i="16"/>
  <c r="U6" i="13"/>
  <c r="BQ11" i="6"/>
  <c r="BP11" i="6"/>
  <c r="BO11" i="6"/>
  <c r="BN11" i="6"/>
  <c r="R8" i="19"/>
  <c r="R15" i="18"/>
  <c r="BM11" i="6"/>
  <c r="BL11" i="6"/>
  <c r="BK11" i="6"/>
  <c r="BJ11" i="6"/>
  <c r="Q15" i="18"/>
  <c r="P8" i="19"/>
  <c r="P15" i="18"/>
  <c r="AW11" i="6" l="1"/>
  <c r="AV11" i="6"/>
  <c r="AU11" i="6"/>
  <c r="AT11" i="6"/>
  <c r="N15" i="18"/>
  <c r="N16" i="18" s="1"/>
  <c r="M15" i="18"/>
  <c r="M8" i="19"/>
  <c r="AS11" i="6"/>
  <c r="AR11" i="6"/>
  <c r="AQ11" i="6"/>
  <c r="AP11" i="6"/>
  <c r="L15" i="18"/>
  <c r="AC11" i="6"/>
  <c r="AB11" i="6"/>
  <c r="AA11" i="6"/>
  <c r="Z11" i="6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G9" i="19"/>
  <c r="F9" i="19"/>
  <c r="E9" i="19"/>
  <c r="D9" i="19"/>
  <c r="C9" i="19"/>
  <c r="H9" i="19"/>
  <c r="H8" i="19"/>
  <c r="K15" i="18"/>
  <c r="I7" i="19"/>
  <c r="I15" i="18"/>
  <c r="G15" i="18"/>
  <c r="G16" i="18" s="1"/>
  <c r="F15" i="18"/>
  <c r="F16" i="18" s="1"/>
  <c r="F6" i="13"/>
  <c r="Q11" i="6"/>
  <c r="P11" i="6"/>
  <c r="O11" i="6"/>
  <c r="N11" i="6"/>
  <c r="E7" i="19"/>
  <c r="E15" i="18"/>
  <c r="E16" i="18" s="1"/>
  <c r="D8" i="19"/>
  <c r="I11" i="6"/>
  <c r="H11" i="6"/>
  <c r="G11" i="6"/>
  <c r="F11" i="6"/>
  <c r="C8" i="19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M16" i="18"/>
  <c r="L16" i="18"/>
  <c r="K16" i="18"/>
  <c r="J16" i="18"/>
  <c r="I16" i="18"/>
  <c r="H16" i="18"/>
  <c r="D16" i="18"/>
  <c r="B16" i="18"/>
  <c r="C16" i="18"/>
  <c r="BK7" i="21"/>
  <c r="BJ7" i="21"/>
  <c r="BI7" i="21"/>
  <c r="BH7" i="21"/>
  <c r="BG7" i="21"/>
  <c r="BF7" i="21"/>
  <c r="BE7" i="21"/>
  <c r="BD7" i="21"/>
  <c r="BC7" i="21"/>
  <c r="BB7" i="21"/>
  <c r="BA7" i="21"/>
  <c r="AZ7" i="21"/>
  <c r="AY7" i="21"/>
  <c r="AX7" i="21"/>
  <c r="AW7" i="21"/>
  <c r="AV7" i="21"/>
  <c r="AU7" i="21"/>
  <c r="AT7" i="21"/>
  <c r="AS7" i="21"/>
  <c r="AR7" i="21"/>
  <c r="AQ7" i="21"/>
  <c r="AP7" i="21"/>
  <c r="AM7" i="21"/>
  <c r="AL7" i="21"/>
  <c r="AK7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BK111" i="11" l="1"/>
  <c r="BJ111" i="11"/>
  <c r="BI111" i="11"/>
  <c r="BH111" i="11"/>
  <c r="BG111" i="11"/>
  <c r="BF111" i="11"/>
  <c r="BE111" i="11"/>
  <c r="BD111" i="11"/>
  <c r="BC111" i="11"/>
  <c r="BB111" i="11"/>
  <c r="BA111" i="11"/>
  <c r="AZ111" i="11"/>
  <c r="AY111" i="11"/>
  <c r="AX111" i="11"/>
  <c r="AW111" i="11"/>
  <c r="AV111" i="11"/>
  <c r="AU111" i="11"/>
  <c r="AT111" i="11"/>
  <c r="AS111" i="11"/>
  <c r="AR111" i="11"/>
  <c r="AP111" i="11"/>
  <c r="AO111" i="11"/>
  <c r="AN111" i="11"/>
  <c r="AM111" i="11"/>
  <c r="AL111" i="11"/>
  <c r="AK111" i="11"/>
  <c r="AJ111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P108" i="11"/>
  <c r="AO108" i="11"/>
  <c r="AN108" i="11"/>
  <c r="AM108" i="11"/>
  <c r="AL108" i="11"/>
  <c r="AK108" i="11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V106" i="11"/>
  <c r="AU106" i="11"/>
  <c r="AT106" i="11"/>
  <c r="AS106" i="11"/>
  <c r="AR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BK105" i="1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B111" i="11"/>
  <c r="B110" i="11"/>
  <c r="B109" i="11"/>
  <c r="B108" i="11"/>
  <c r="B107" i="11"/>
  <c r="B106" i="11"/>
  <c r="B105" i="11"/>
  <c r="BM45" i="11"/>
  <c r="BL45" i="11"/>
  <c r="BM44" i="11"/>
  <c r="BL44" i="11"/>
  <c r="BM43" i="11"/>
  <c r="BL43" i="11"/>
  <c r="BM42" i="11"/>
  <c r="BL42" i="11"/>
  <c r="BM41" i="11"/>
  <c r="BL41" i="11"/>
  <c r="BM40" i="11"/>
  <c r="BL40" i="11"/>
  <c r="BM39" i="11"/>
  <c r="BL39" i="11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11" i="10"/>
  <c r="B110" i="10"/>
  <c r="B109" i="10"/>
  <c r="B108" i="10"/>
  <c r="B107" i="10"/>
  <c r="B106" i="10"/>
  <c r="B105" i="10"/>
  <c r="BL23" i="10"/>
  <c r="BL22" i="10"/>
  <c r="BL21" i="10"/>
  <c r="BL20" i="10"/>
  <c r="BM19" i="10"/>
  <c r="BL19" i="10"/>
  <c r="BM18" i="10"/>
  <c r="BL18" i="10"/>
  <c r="BM17" i="10"/>
  <c r="BL17" i="10"/>
  <c r="BK111" i="9"/>
  <c r="BJ111" i="9"/>
  <c r="BI111" i="9"/>
  <c r="BH111" i="9"/>
  <c r="BG111" i="9"/>
  <c r="BF111" i="9"/>
  <c r="BE111" i="9"/>
  <c r="BD111" i="9"/>
  <c r="BC111" i="9"/>
  <c r="BB111" i="9"/>
  <c r="BA111" i="9"/>
  <c r="AZ111" i="9"/>
  <c r="AY111" i="9"/>
  <c r="AX111" i="9"/>
  <c r="AW111" i="9"/>
  <c r="AV111" i="9"/>
  <c r="AU111" i="9"/>
  <c r="AT111" i="9"/>
  <c r="AS111" i="9"/>
  <c r="AR111" i="9"/>
  <c r="AP111" i="9"/>
  <c r="AO111" i="9"/>
  <c r="AN111" i="9"/>
  <c r="AM111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K110" i="9"/>
  <c r="BJ110" i="9"/>
  <c r="BI110" i="9"/>
  <c r="BH110" i="9"/>
  <c r="BG110" i="9"/>
  <c r="BF110" i="9"/>
  <c r="BE110" i="9"/>
  <c r="BD110" i="9"/>
  <c r="BC110" i="9"/>
  <c r="BB110" i="9"/>
  <c r="BA110" i="9"/>
  <c r="AZ110" i="9"/>
  <c r="AY110" i="9"/>
  <c r="AX110" i="9"/>
  <c r="AW110" i="9"/>
  <c r="AV110" i="9"/>
  <c r="AU110" i="9"/>
  <c r="AT110" i="9"/>
  <c r="AS110" i="9"/>
  <c r="AR110" i="9"/>
  <c r="AP110" i="9"/>
  <c r="AO110" i="9"/>
  <c r="AN110" i="9"/>
  <c r="AM110" i="9"/>
  <c r="AL110" i="9"/>
  <c r="AK110" i="9"/>
  <c r="AJ110" i="9"/>
  <c r="AI110" i="9"/>
  <c r="AH110" i="9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P109" i="9"/>
  <c r="AO109" i="9"/>
  <c r="AN109" i="9"/>
  <c r="AM109" i="9"/>
  <c r="AL109" i="9"/>
  <c r="AK109" i="9"/>
  <c r="AJ109" i="9"/>
  <c r="AI109" i="9"/>
  <c r="AH109" i="9"/>
  <c r="AG109" i="9"/>
  <c r="AF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P108" i="9"/>
  <c r="AO108" i="9"/>
  <c r="AN108" i="9"/>
  <c r="AM108" i="9"/>
  <c r="AL108" i="9"/>
  <c r="AK108" i="9"/>
  <c r="AJ108" i="9"/>
  <c r="AI108" i="9"/>
  <c r="AH108" i="9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P107" i="9"/>
  <c r="AO107" i="9"/>
  <c r="AN107" i="9"/>
  <c r="AM107" i="9"/>
  <c r="AL107" i="9"/>
  <c r="AK107" i="9"/>
  <c r="AJ107" i="9"/>
  <c r="AI107" i="9"/>
  <c r="AH107" i="9"/>
  <c r="AG107" i="9"/>
  <c r="AF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BK106" i="9"/>
  <c r="BJ106" i="9"/>
  <c r="BI106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AV106" i="9"/>
  <c r="AU106" i="9"/>
  <c r="AT106" i="9"/>
  <c r="AS106" i="9"/>
  <c r="AR106" i="9"/>
  <c r="AP106" i="9"/>
  <c r="AO106" i="9"/>
  <c r="AN106" i="9"/>
  <c r="AM106" i="9"/>
  <c r="AL106" i="9"/>
  <c r="AK106" i="9"/>
  <c r="AJ106" i="9"/>
  <c r="AI106" i="9"/>
  <c r="AH106" i="9"/>
  <c r="AG106" i="9"/>
  <c r="AF106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K105" i="9"/>
  <c r="BJ105" i="9"/>
  <c r="BI105" i="9"/>
  <c r="BH105" i="9"/>
  <c r="BG105" i="9"/>
  <c r="BF105" i="9"/>
  <c r="BE105" i="9"/>
  <c r="BD105" i="9"/>
  <c r="BC105" i="9"/>
  <c r="BB105" i="9"/>
  <c r="BA105" i="9"/>
  <c r="AZ105" i="9"/>
  <c r="AY105" i="9"/>
  <c r="AX105" i="9"/>
  <c r="AW105" i="9"/>
  <c r="AV105" i="9"/>
  <c r="AU105" i="9"/>
  <c r="AT105" i="9"/>
  <c r="AS105" i="9"/>
  <c r="AR105" i="9"/>
  <c r="AP105" i="9"/>
  <c r="AO105" i="9"/>
  <c r="AN105" i="9"/>
  <c r="AM105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11" i="9"/>
  <c r="B110" i="9"/>
  <c r="B109" i="9"/>
  <c r="B108" i="9"/>
  <c r="B107" i="9"/>
  <c r="B105" i="9"/>
  <c r="B106" i="9"/>
  <c r="BM67" i="9"/>
  <c r="BL67" i="9"/>
  <c r="BM66" i="9"/>
  <c r="BL66" i="9"/>
  <c r="BM65" i="9"/>
  <c r="BL65" i="9"/>
  <c r="BM64" i="9"/>
  <c r="BL64" i="9"/>
  <c r="BM63" i="9"/>
  <c r="BL63" i="9"/>
  <c r="BM62" i="9"/>
  <c r="BL62" i="9"/>
  <c r="BM61" i="9"/>
  <c r="BL61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BM106" i="11" l="1"/>
  <c r="BM107" i="11"/>
  <c r="BM105" i="11"/>
  <c r="BM109" i="11"/>
  <c r="BM110" i="11"/>
  <c r="BM108" i="11"/>
  <c r="BM111" i="11"/>
  <c r="BL34" i="11"/>
  <c r="BL31" i="11"/>
  <c r="BL33" i="11"/>
  <c r="BL32" i="11"/>
  <c r="BL30" i="11"/>
  <c r="BL29" i="11"/>
  <c r="BL28" i="11"/>
  <c r="AE16" i="8"/>
  <c r="AG8" i="8" l="1"/>
  <c r="AG7" i="8"/>
  <c r="S22" i="7"/>
  <c r="S24" i="7" s="1"/>
  <c r="R22" i="7"/>
  <c r="R24" i="7" s="1"/>
  <c r="S20" i="7"/>
  <c r="R20" i="7"/>
  <c r="AL20" i="14" l="1"/>
  <c r="J34" i="14" l="1"/>
  <c r="J33" i="14"/>
  <c r="J31" i="14"/>
  <c r="J30" i="14"/>
  <c r="J29" i="14"/>
  <c r="J28" i="14"/>
  <c r="J23" i="14"/>
  <c r="J22" i="14"/>
  <c r="J19" i="14"/>
  <c r="J18" i="14"/>
  <c r="J14" i="14"/>
  <c r="J13" i="14"/>
  <c r="J10" i="14"/>
  <c r="J7" i="14"/>
  <c r="J6" i="14"/>
  <c r="D16" i="8"/>
  <c r="G13" i="14" l="1"/>
  <c r="BS20" i="14" l="1"/>
  <c r="BM17" i="12" l="1"/>
  <c r="BL17" i="12"/>
  <c r="BM16" i="12"/>
  <c r="BL16" i="12"/>
  <c r="BM14" i="12"/>
  <c r="BL14" i="12"/>
  <c r="BM13" i="12"/>
  <c r="BL13" i="12"/>
  <c r="BM12" i="12"/>
  <c r="BL12" i="12"/>
  <c r="BM11" i="12"/>
  <c r="BL11" i="12"/>
  <c r="BM10" i="12"/>
  <c r="BL10" i="12"/>
  <c r="BM9" i="12"/>
  <c r="BL9" i="12"/>
  <c r="BM8" i="12"/>
  <c r="BL8" i="12"/>
  <c r="BM7" i="12"/>
  <c r="BL7" i="12"/>
  <c r="BM6" i="12"/>
  <c r="BL6" i="12"/>
  <c r="BM5" i="12"/>
  <c r="BL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L21" i="7"/>
  <c r="BM19" i="7"/>
  <c r="BL19" i="7"/>
  <c r="BM18" i="7"/>
  <c r="BL18" i="7"/>
  <c r="BM17" i="7"/>
  <c r="BL17" i="7"/>
  <c r="BM15" i="7"/>
  <c r="BL15" i="7"/>
  <c r="BM13" i="7"/>
  <c r="BL13" i="7"/>
  <c r="BM12" i="7"/>
  <c r="BL12" i="7"/>
  <c r="BM11" i="7"/>
  <c r="BL11" i="7"/>
  <c r="BM10" i="7"/>
  <c r="BL10" i="7"/>
  <c r="BM8" i="7"/>
  <c r="BL8" i="7"/>
  <c r="BM7" i="7"/>
  <c r="BL7" i="7"/>
  <c r="BM6" i="7"/>
  <c r="BL6" i="7"/>
  <c r="BM122" i="11"/>
  <c r="BL122" i="11"/>
  <c r="BM121" i="11"/>
  <c r="BL121" i="11"/>
  <c r="BM120" i="11"/>
  <c r="BL120" i="11"/>
  <c r="BM119" i="11"/>
  <c r="BL119" i="11"/>
  <c r="BM118" i="11"/>
  <c r="BL118" i="11"/>
  <c r="BM117" i="11"/>
  <c r="BL117" i="11"/>
  <c r="BM116" i="11"/>
  <c r="BL116" i="11"/>
  <c r="BM100" i="11"/>
  <c r="BL100" i="11"/>
  <c r="BM99" i="11"/>
  <c r="BL99" i="11"/>
  <c r="BM98" i="11"/>
  <c r="BL98" i="11"/>
  <c r="BM97" i="11"/>
  <c r="BL97" i="11"/>
  <c r="BM96" i="11"/>
  <c r="BL96" i="11"/>
  <c r="BM95" i="11"/>
  <c r="BL95" i="11"/>
  <c r="BM94" i="11"/>
  <c r="BL94" i="11"/>
  <c r="BM89" i="11"/>
  <c r="BL89" i="11"/>
  <c r="BM88" i="11"/>
  <c r="BL88" i="11"/>
  <c r="BM87" i="11"/>
  <c r="BL87" i="11"/>
  <c r="BM86" i="11"/>
  <c r="BL86" i="11"/>
  <c r="BM85" i="11"/>
  <c r="BL85" i="11"/>
  <c r="BM84" i="11"/>
  <c r="BL84" i="11"/>
  <c r="BM83" i="11"/>
  <c r="BL83" i="11"/>
  <c r="BM78" i="11"/>
  <c r="BL78" i="11"/>
  <c r="BM77" i="11"/>
  <c r="BL77" i="11"/>
  <c r="BM76" i="11"/>
  <c r="BL76" i="11"/>
  <c r="BM75" i="11"/>
  <c r="BL75" i="11"/>
  <c r="BM74" i="11"/>
  <c r="BL74" i="11"/>
  <c r="BM73" i="11"/>
  <c r="BL73" i="11"/>
  <c r="BM72" i="11"/>
  <c r="BL72" i="11"/>
  <c r="BM67" i="11"/>
  <c r="BL67" i="11"/>
  <c r="BM66" i="11"/>
  <c r="BL66" i="11"/>
  <c r="BM65" i="11"/>
  <c r="BL65" i="11"/>
  <c r="BM64" i="11"/>
  <c r="BL64" i="11"/>
  <c r="BM63" i="11"/>
  <c r="BL63" i="11"/>
  <c r="BM62" i="11"/>
  <c r="BL62" i="11"/>
  <c r="BM61" i="11"/>
  <c r="BL61" i="11"/>
  <c r="BM56" i="11"/>
  <c r="BL56" i="11"/>
  <c r="BM55" i="11"/>
  <c r="BL55" i="11"/>
  <c r="BM54" i="11"/>
  <c r="BL54" i="11"/>
  <c r="BM53" i="11"/>
  <c r="BL53" i="11"/>
  <c r="BM52" i="11"/>
  <c r="BL52" i="11"/>
  <c r="BM51" i="11"/>
  <c r="BL51" i="11"/>
  <c r="BM50" i="11"/>
  <c r="BL50" i="11"/>
  <c r="BM34" i="11"/>
  <c r="BM33" i="11"/>
  <c r="BM32" i="11"/>
  <c r="BM31" i="11"/>
  <c r="BM30" i="11"/>
  <c r="BL23" i="11"/>
  <c r="BL22" i="11"/>
  <c r="BL21" i="11"/>
  <c r="BL20" i="11"/>
  <c r="BM19" i="11"/>
  <c r="BL19" i="11"/>
  <c r="BM18" i="11"/>
  <c r="BL18" i="11"/>
  <c r="BM17" i="11"/>
  <c r="BL17" i="11"/>
  <c r="BM12" i="11"/>
  <c r="BL12" i="11"/>
  <c r="BM11" i="11"/>
  <c r="BL11" i="11"/>
  <c r="BM10" i="11"/>
  <c r="BL10" i="11"/>
  <c r="BM9" i="11"/>
  <c r="BL9" i="11"/>
  <c r="BM8" i="11"/>
  <c r="BL8" i="11"/>
  <c r="BM7" i="11"/>
  <c r="BL7" i="11"/>
  <c r="BM6" i="11"/>
  <c r="BL6" i="11"/>
  <c r="BM122" i="10"/>
  <c r="BL122" i="10"/>
  <c r="BM121" i="10"/>
  <c r="BL121" i="10"/>
  <c r="BM120" i="10"/>
  <c r="BL120" i="10"/>
  <c r="BM119" i="10"/>
  <c r="BL119" i="10"/>
  <c r="BM118" i="10"/>
  <c r="BL118" i="10"/>
  <c r="BM117" i="10"/>
  <c r="BL117" i="10"/>
  <c r="BM116" i="10"/>
  <c r="BL116" i="10"/>
  <c r="BM100" i="10"/>
  <c r="BL100" i="10"/>
  <c r="BM99" i="10"/>
  <c r="BL99" i="10"/>
  <c r="BM98" i="10"/>
  <c r="BL98" i="10"/>
  <c r="BM97" i="10"/>
  <c r="BL97" i="10"/>
  <c r="BM96" i="10"/>
  <c r="BL96" i="10"/>
  <c r="BM95" i="10"/>
  <c r="BL95" i="10"/>
  <c r="BM94" i="10"/>
  <c r="BL94" i="10"/>
  <c r="BM89" i="10"/>
  <c r="BL89" i="10"/>
  <c r="BM88" i="10"/>
  <c r="BL88" i="10"/>
  <c r="BM87" i="10"/>
  <c r="BL87" i="10"/>
  <c r="BM86" i="10"/>
  <c r="BL86" i="10"/>
  <c r="BM85" i="10"/>
  <c r="BL85" i="10"/>
  <c r="BM84" i="10"/>
  <c r="BL84" i="10"/>
  <c r="BM83" i="10"/>
  <c r="BL83" i="10"/>
  <c r="BM78" i="10"/>
  <c r="BL78" i="10"/>
  <c r="BM77" i="10"/>
  <c r="BL77" i="10"/>
  <c r="BM76" i="10"/>
  <c r="BL76" i="10"/>
  <c r="BM75" i="10"/>
  <c r="BL75" i="10"/>
  <c r="BM74" i="10"/>
  <c r="BL74" i="10"/>
  <c r="BM73" i="10"/>
  <c r="BL73" i="10"/>
  <c r="BM72" i="10"/>
  <c r="BL72" i="10"/>
  <c r="BM67" i="10"/>
  <c r="BL67" i="10"/>
  <c r="BM66" i="10"/>
  <c r="BL66" i="10"/>
  <c r="BM65" i="10"/>
  <c r="BL65" i="10"/>
  <c r="BM64" i="10"/>
  <c r="BL64" i="10"/>
  <c r="BM63" i="10"/>
  <c r="BL63" i="10"/>
  <c r="BM62" i="10"/>
  <c r="BL62" i="10"/>
  <c r="BM61" i="10"/>
  <c r="BL61" i="10"/>
  <c r="BM56" i="10"/>
  <c r="BL56" i="10"/>
  <c r="BM55" i="10"/>
  <c r="BL55" i="10"/>
  <c r="BM54" i="10"/>
  <c r="BL54" i="10"/>
  <c r="BM53" i="10"/>
  <c r="BL53" i="10"/>
  <c r="BM52" i="10"/>
  <c r="BL52" i="10"/>
  <c r="BM51" i="10"/>
  <c r="BL51" i="10"/>
  <c r="BM50" i="10"/>
  <c r="BL50" i="10"/>
  <c r="BM45" i="10"/>
  <c r="BL45" i="10"/>
  <c r="BM44" i="10"/>
  <c r="BL44" i="10"/>
  <c r="BM43" i="10"/>
  <c r="BL43" i="10"/>
  <c r="BM42" i="10"/>
  <c r="BL42" i="10"/>
  <c r="BM41" i="10"/>
  <c r="BL41" i="10"/>
  <c r="BM40" i="10"/>
  <c r="BL40" i="10"/>
  <c r="BM39" i="10"/>
  <c r="BL39" i="10"/>
  <c r="BL34" i="10"/>
  <c r="BL33" i="10"/>
  <c r="BL32" i="10"/>
  <c r="BL31" i="10"/>
  <c r="BL30" i="10"/>
  <c r="BL29" i="10"/>
  <c r="BL28" i="10"/>
  <c r="BM12" i="10"/>
  <c r="BL12" i="10"/>
  <c r="BM11" i="10"/>
  <c r="BL11" i="10"/>
  <c r="BM10" i="10"/>
  <c r="BL10" i="10"/>
  <c r="BM9" i="10"/>
  <c r="BL9" i="10"/>
  <c r="BM8" i="10"/>
  <c r="BL8" i="10"/>
  <c r="BM7" i="10"/>
  <c r="BL7" i="10"/>
  <c r="BM6" i="10"/>
  <c r="BL6" i="10"/>
  <c r="BM122" i="9"/>
  <c r="BL122" i="9"/>
  <c r="BM121" i="9"/>
  <c r="BL121" i="9"/>
  <c r="BM120" i="9"/>
  <c r="BL120" i="9"/>
  <c r="BM119" i="9"/>
  <c r="BL119" i="9"/>
  <c r="BM118" i="9"/>
  <c r="BL118" i="9"/>
  <c r="BM117" i="9"/>
  <c r="BL117" i="9"/>
  <c r="BM116" i="9"/>
  <c r="BL116" i="9"/>
  <c r="BM100" i="9"/>
  <c r="BL100" i="9"/>
  <c r="BM99" i="9"/>
  <c r="BL99" i="9"/>
  <c r="BM98" i="9"/>
  <c r="BL98" i="9"/>
  <c r="BM97" i="9"/>
  <c r="BL97" i="9"/>
  <c r="BM96" i="9"/>
  <c r="BL96" i="9"/>
  <c r="BM95" i="9"/>
  <c r="BL95" i="9"/>
  <c r="BM94" i="9"/>
  <c r="BL94" i="9"/>
  <c r="BM89" i="9"/>
  <c r="BL89" i="9"/>
  <c r="BM88" i="9"/>
  <c r="BL88" i="9"/>
  <c r="BM87" i="9"/>
  <c r="BL87" i="9"/>
  <c r="BM86" i="9"/>
  <c r="BL86" i="9"/>
  <c r="BM85" i="9"/>
  <c r="BL85" i="9"/>
  <c r="BM84" i="9"/>
  <c r="BL84" i="9"/>
  <c r="BM83" i="9"/>
  <c r="BL83" i="9"/>
  <c r="BM78" i="9"/>
  <c r="BL78" i="9"/>
  <c r="BM77" i="9"/>
  <c r="BL77" i="9"/>
  <c r="BM76" i="9"/>
  <c r="BL76" i="9"/>
  <c r="BM75" i="9"/>
  <c r="BL75" i="9"/>
  <c r="BM74" i="9"/>
  <c r="BL74" i="9"/>
  <c r="BM73" i="9"/>
  <c r="BL73" i="9"/>
  <c r="BM72" i="9"/>
  <c r="BL72" i="9"/>
  <c r="BM56" i="9"/>
  <c r="BL56" i="9"/>
  <c r="BM55" i="9"/>
  <c r="BL55" i="9"/>
  <c r="BM54" i="9"/>
  <c r="BL54" i="9"/>
  <c r="BM53" i="9"/>
  <c r="BL53" i="9"/>
  <c r="BM52" i="9"/>
  <c r="BL52" i="9"/>
  <c r="BM51" i="9"/>
  <c r="BL51" i="9"/>
  <c r="BM50" i="9"/>
  <c r="BL50" i="9"/>
  <c r="BM45" i="9"/>
  <c r="BL45" i="9"/>
  <c r="BM44" i="9"/>
  <c r="BL44" i="9"/>
  <c r="BM43" i="9"/>
  <c r="BL43" i="9"/>
  <c r="BM42" i="9"/>
  <c r="BL42" i="9"/>
  <c r="BM41" i="9"/>
  <c r="BL41" i="9"/>
  <c r="BM40" i="9"/>
  <c r="BL40" i="9"/>
  <c r="BM39" i="9"/>
  <c r="BL39" i="9"/>
  <c r="BM34" i="9"/>
  <c r="BL34" i="9"/>
  <c r="BM33" i="9"/>
  <c r="BL33" i="9"/>
  <c r="BM32" i="9"/>
  <c r="BL32" i="9"/>
  <c r="BM31" i="9"/>
  <c r="BL31" i="9"/>
  <c r="BM30" i="9"/>
  <c r="BL30" i="9"/>
  <c r="BL29" i="9"/>
  <c r="BL28" i="9"/>
  <c r="BL23" i="9"/>
  <c r="BL22" i="9"/>
  <c r="BL21" i="9"/>
  <c r="BL20" i="9"/>
  <c r="BM19" i="9"/>
  <c r="BL19" i="9"/>
  <c r="BM18" i="9"/>
  <c r="BL18" i="9"/>
  <c r="BM17" i="9"/>
  <c r="BL17" i="9"/>
  <c r="BM12" i="9"/>
  <c r="BL12" i="9"/>
  <c r="BM11" i="9"/>
  <c r="BL11" i="9"/>
  <c r="BM10" i="9"/>
  <c r="BL10" i="9"/>
  <c r="BM9" i="9"/>
  <c r="BL9" i="9"/>
  <c r="BM8" i="9"/>
  <c r="BL8" i="9"/>
  <c r="BM7" i="9"/>
  <c r="BL7" i="9"/>
  <c r="BM6" i="9"/>
  <c r="BL6" i="9"/>
  <c r="AB9" i="13"/>
  <c r="AA9" i="13"/>
  <c r="Z9" i="13"/>
  <c r="Y9" i="13"/>
  <c r="X9" i="13"/>
  <c r="W9" i="13"/>
  <c r="V9" i="13"/>
  <c r="U9" i="13"/>
  <c r="T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S9" i="13"/>
  <c r="L9" i="13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5" i="16"/>
  <c r="AA15" i="16"/>
  <c r="Z15" i="16"/>
  <c r="Y15" i="16"/>
  <c r="X15" i="16"/>
  <c r="W15" i="16"/>
  <c r="V15" i="16"/>
  <c r="U15" i="16"/>
  <c r="T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S15" i="16"/>
  <c r="AB15" i="17"/>
  <c r="AA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Z15" i="17"/>
  <c r="DE15" i="6"/>
  <c r="DD15" i="6"/>
  <c r="DC15" i="6"/>
  <c r="DB15" i="6"/>
  <c r="DE12" i="6"/>
  <c r="DD12" i="6"/>
  <c r="DC12" i="6"/>
  <c r="DB12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C15" i="6"/>
  <c r="AB15" i="6"/>
  <c r="AA15" i="6"/>
  <c r="Z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S12" i="6"/>
  <c r="AR12" i="6"/>
  <c r="AQ12" i="6"/>
  <c r="AP12" i="6"/>
  <c r="AC12" i="6"/>
  <c r="AB12" i="6"/>
  <c r="AA12" i="6"/>
  <c r="Z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CK12" i="6"/>
  <c r="CJ12" i="6"/>
  <c r="CI12" i="6"/>
  <c r="CH12" i="6"/>
  <c r="AW12" i="6"/>
  <c r="AV12" i="6"/>
  <c r="AU12" i="6"/>
  <c r="AT12" i="6"/>
  <c r="BL108" i="11" l="1"/>
  <c r="BL106" i="11"/>
  <c r="BL107" i="11"/>
  <c r="BM109" i="9"/>
  <c r="BL109" i="9"/>
  <c r="BM15" i="12"/>
  <c r="BL15" i="1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DA18" i="2" s="1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K18" i="2" s="1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W18" i="2" s="1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EZ17" i="2"/>
  <c r="EZ11" i="2"/>
  <c r="EY11" i="2"/>
  <c r="EX11" i="2"/>
  <c r="EW11" i="2"/>
  <c r="EV11" i="2"/>
  <c r="EU11" i="2"/>
  <c r="ET11" i="2"/>
  <c r="ES11" i="2"/>
  <c r="ER11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L18" i="2" s="1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N18" i="2" s="1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V18" i="2" s="1"/>
  <c r="U11" i="2"/>
  <c r="T11" i="2"/>
  <c r="S11" i="2"/>
  <c r="R11" i="2"/>
  <c r="R18" i="2" s="1"/>
  <c r="Q11" i="2"/>
  <c r="P11" i="2"/>
  <c r="O11" i="2"/>
  <c r="N11" i="2"/>
  <c r="M11" i="2"/>
  <c r="L11" i="2"/>
  <c r="K11" i="2"/>
  <c r="J11" i="2"/>
  <c r="J18" i="2" s="1"/>
  <c r="I11" i="2"/>
  <c r="H11" i="2"/>
  <c r="G11" i="2"/>
  <c r="F11" i="2"/>
  <c r="E11" i="2"/>
  <c r="D11" i="2"/>
  <c r="C11" i="2"/>
  <c r="B11" i="2"/>
  <c r="DZ18" i="2"/>
  <c r="Y18" i="2"/>
  <c r="DJ18" i="2" l="1"/>
  <c r="DI18" i="2"/>
  <c r="DH18" i="2"/>
  <c r="DB18" i="2"/>
  <c r="CZ18" i="2"/>
  <c r="CU18" i="2"/>
  <c r="CS18" i="2"/>
  <c r="CM18" i="2"/>
  <c r="CJ18" i="2"/>
  <c r="CI18" i="2"/>
  <c r="CE18" i="2"/>
  <c r="CC18" i="2"/>
  <c r="BY18" i="2"/>
  <c r="BX18" i="2"/>
  <c r="BW18" i="2"/>
  <c r="BV18" i="2"/>
  <c r="BU18" i="2"/>
  <c r="BT18" i="2"/>
  <c r="BO18" i="2"/>
  <c r="BN18" i="2"/>
  <c r="BM18" i="2"/>
  <c r="BL18" i="2"/>
  <c r="BK18" i="2"/>
  <c r="BJ18" i="2"/>
  <c r="BG18" i="2"/>
  <c r="BF18" i="2"/>
  <c r="BE18" i="2"/>
  <c r="DQ18" i="2"/>
  <c r="DP18" i="2"/>
  <c r="DV18" i="2"/>
  <c r="EA18" i="2"/>
  <c r="DX18" i="2"/>
  <c r="EF18" i="2"/>
  <c r="EK18" i="2"/>
  <c r="EI18" i="2"/>
  <c r="EH18" i="2"/>
  <c r="EG18" i="2"/>
  <c r="EN18" i="2"/>
  <c r="EQ18" i="2"/>
  <c r="EY18" i="2"/>
  <c r="AY18" i="2"/>
  <c r="AV18" i="2"/>
  <c r="AP18" i="2"/>
  <c r="AI18" i="2"/>
  <c r="AF18" i="2"/>
  <c r="AD18" i="2"/>
  <c r="AA18" i="2"/>
  <c r="Z18" i="2"/>
  <c r="X18" i="2"/>
  <c r="W18" i="2"/>
  <c r="Q18" i="2"/>
  <c r="K18" i="2"/>
  <c r="I18" i="2"/>
  <c r="F18" i="2"/>
  <c r="CD18" i="2"/>
  <c r="CT18" i="2"/>
  <c r="EP18" i="2"/>
  <c r="D18" i="2"/>
  <c r="AB18" i="2"/>
  <c r="AZ18" i="2"/>
  <c r="BH18" i="2"/>
  <c r="BP18" i="2"/>
  <c r="CF18" i="2"/>
  <c r="CV18" i="2"/>
  <c r="DL18" i="2"/>
  <c r="DT18" i="2"/>
  <c r="DR18" i="2"/>
  <c r="EX18" i="2"/>
  <c r="L18" i="2"/>
  <c r="EJ18" i="2"/>
  <c r="H18" i="2"/>
  <c r="P18" i="2"/>
  <c r="CB18" i="2"/>
  <c r="AG18" i="2"/>
  <c r="DY18" i="2"/>
  <c r="AX18" i="2"/>
  <c r="E18" i="2"/>
  <c r="U18" i="2"/>
  <c r="AC18" i="2"/>
  <c r="BI18" i="2"/>
  <c r="BQ18" i="2"/>
  <c r="CG18" i="2"/>
  <c r="CW18" i="2"/>
  <c r="DM18" i="2"/>
  <c r="EU18" i="2"/>
  <c r="ET18" i="2"/>
  <c r="ES18" i="2"/>
  <c r="ER18" i="2"/>
  <c r="EO18" i="2"/>
  <c r="EM18" i="2"/>
  <c r="EL18" i="2"/>
  <c r="CR18" i="2"/>
  <c r="CQ18" i="2"/>
  <c r="CP18" i="2"/>
  <c r="CO18" i="2"/>
  <c r="CN18" i="2"/>
  <c r="DW18" i="2"/>
  <c r="AU18" i="2"/>
  <c r="AO18" i="2"/>
  <c r="AM18" i="2"/>
  <c r="AL18" i="2"/>
  <c r="AK18" i="2"/>
  <c r="AH18" i="2"/>
  <c r="AJ18" i="2"/>
  <c r="EW18" i="2"/>
  <c r="EV18" i="2"/>
  <c r="EZ18" i="2"/>
  <c r="AT18" i="2"/>
  <c r="AS18" i="2"/>
  <c r="AR18" i="2"/>
  <c r="AQ18" i="2"/>
  <c r="AE18" i="2"/>
  <c r="O18" i="2"/>
  <c r="N18" i="2"/>
  <c r="M18" i="2"/>
  <c r="G18" i="2"/>
  <c r="DS18" i="2"/>
  <c r="DU18" i="2"/>
  <c r="DG18" i="2"/>
  <c r="DF18" i="2"/>
  <c r="DC18" i="2"/>
  <c r="DE18" i="2"/>
  <c r="DD18" i="2"/>
  <c r="CA18" i="2"/>
  <c r="BZ18" i="2"/>
  <c r="CH18" i="2"/>
  <c r="C18" i="2"/>
  <c r="B18" i="2"/>
  <c r="EE18" i="2"/>
  <c r="ED18" i="2"/>
  <c r="EC18" i="2"/>
  <c r="EB18" i="2"/>
  <c r="DO18" i="2"/>
  <c r="DN18" i="2"/>
  <c r="DK18" i="2"/>
  <c r="CY18" i="2"/>
  <c r="CX18" i="2"/>
  <c r="BS18" i="2"/>
  <c r="BR18" i="2"/>
  <c r="BD18" i="2"/>
  <c r="BC18" i="2"/>
  <c r="BB18" i="2"/>
  <c r="BA18" i="2"/>
  <c r="T18" i="2"/>
  <c r="S18" i="2"/>
  <c r="BM14" i="1" l="1"/>
  <c r="BM12" i="1"/>
  <c r="BM11" i="1"/>
  <c r="BM10" i="1"/>
  <c r="BM9" i="1"/>
  <c r="BM7" i="1"/>
  <c r="BM6" i="1"/>
  <c r="BM5" i="1"/>
  <c r="BL14" i="1"/>
  <c r="BL12" i="1"/>
  <c r="BL11" i="1"/>
  <c r="BL10" i="1"/>
  <c r="BL9" i="1"/>
  <c r="BL7" i="1"/>
  <c r="BL6" i="1"/>
  <c r="BL5" i="1"/>
  <c r="BL23" i="7" l="1"/>
  <c r="Z16" i="8"/>
  <c r="I16" i="8"/>
  <c r="BM110" i="9" l="1"/>
  <c r="BL110" i="9"/>
  <c r="AA16" i="8"/>
  <c r="CJ35" i="14" l="1"/>
  <c r="CJ34" i="14"/>
  <c r="CJ33" i="14"/>
  <c r="CJ32" i="14"/>
  <c r="CJ31" i="14"/>
  <c r="CJ30" i="14"/>
  <c r="CJ28" i="14"/>
  <c r="CJ27" i="14"/>
  <c r="CJ26" i="14"/>
  <c r="CJ25" i="14"/>
  <c r="CJ24" i="14"/>
  <c r="CJ23" i="14"/>
  <c r="CJ22" i="14"/>
  <c r="CJ19" i="14"/>
  <c r="CJ18" i="14"/>
  <c r="CJ17" i="14"/>
  <c r="CJ16" i="14"/>
  <c r="CJ15" i="14"/>
  <c r="CJ14" i="14"/>
  <c r="CJ12" i="14"/>
  <c r="CJ11" i="14"/>
  <c r="CJ10" i="14"/>
  <c r="CJ7" i="14"/>
  <c r="CJ6" i="14"/>
  <c r="BC6" i="14"/>
  <c r="BC7" i="14"/>
  <c r="AQ18" i="14"/>
  <c r="AQ17" i="14"/>
  <c r="AQ16" i="14"/>
  <c r="AQ15" i="14"/>
  <c r="AQ14" i="14"/>
  <c r="AQ12" i="14"/>
  <c r="AQ11" i="14"/>
  <c r="AQ10" i="14"/>
  <c r="AQ9" i="14"/>
  <c r="AQ8" i="14"/>
  <c r="AQ7" i="14"/>
  <c r="AQ6" i="14"/>
  <c r="AD16" i="8" l="1"/>
  <c r="S8" i="1" l="1"/>
  <c r="G16" i="8"/>
  <c r="CB36" i="14" l="1"/>
  <c r="CC36" i="14"/>
  <c r="AG16" i="17" l="1"/>
  <c r="DA12" i="6" l="1"/>
  <c r="AD54" i="15" l="1"/>
  <c r="CP35" i="14" l="1"/>
  <c r="CP34" i="14"/>
  <c r="CP33" i="14"/>
  <c r="CP30" i="14"/>
  <c r="CP28" i="14"/>
  <c r="CP22" i="14"/>
  <c r="CP19" i="14"/>
  <c r="CP18" i="14"/>
  <c r="CP14" i="14"/>
  <c r="CP10" i="14"/>
  <c r="CP6" i="14"/>
  <c r="BX33" i="14"/>
  <c r="BX14" i="14"/>
  <c r="BX10" i="14"/>
  <c r="BX7" i="14"/>
  <c r="BX6" i="14"/>
  <c r="V33" i="14"/>
  <c r="BL34" i="14" l="1"/>
  <c r="BL30" i="14"/>
  <c r="BL28" i="14"/>
  <c r="BL27" i="14"/>
  <c r="BL22" i="14"/>
  <c r="BL18" i="14"/>
  <c r="BL16" i="14"/>
  <c r="BL15" i="14"/>
  <c r="BL14" i="14"/>
  <c r="BL11" i="14"/>
  <c r="BL10" i="14"/>
  <c r="BL7" i="14"/>
  <c r="BL6" i="14"/>
  <c r="BX34" i="14"/>
  <c r="BX30" i="14"/>
  <c r="BX28" i="14"/>
  <c r="BX23" i="14"/>
  <c r="BX22" i="14"/>
  <c r="BX19" i="14"/>
  <c r="BX18" i="14"/>
  <c r="AA8" i="1" l="1"/>
  <c r="AA13" i="1"/>
  <c r="AA15" i="1"/>
  <c r="AF16" i="8" l="1"/>
  <c r="AB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F16" i="8"/>
  <c r="C16" i="8"/>
  <c r="B16" i="8"/>
  <c r="E16" i="8"/>
  <c r="O15" i="1" l="1"/>
  <c r="O13" i="1"/>
  <c r="O8" i="1"/>
  <c r="AQ13" i="1" l="1"/>
  <c r="AQ8" i="1" l="1"/>
  <c r="AQ15" i="1"/>
  <c r="AF22" i="7" l="1"/>
  <c r="AF24" i="7" s="1"/>
  <c r="AF20" i="7"/>
  <c r="AG15" i="1" l="1"/>
  <c r="AG13" i="1"/>
  <c r="AG8" i="1"/>
  <c r="AM13" i="1" l="1"/>
  <c r="AC15" i="1" l="1"/>
  <c r="AC13" i="1"/>
  <c r="I15" i="1"/>
  <c r="H15" i="1"/>
  <c r="G15" i="1"/>
  <c r="F15" i="1"/>
  <c r="E15" i="1"/>
  <c r="D15" i="1"/>
  <c r="C15" i="1"/>
  <c r="I13" i="1"/>
  <c r="H13" i="1"/>
  <c r="G13" i="1"/>
  <c r="F13" i="1"/>
  <c r="E13" i="1"/>
  <c r="D13" i="1"/>
  <c r="C13" i="1"/>
  <c r="I8" i="1"/>
  <c r="H8" i="1"/>
  <c r="G8" i="1"/>
  <c r="F8" i="1"/>
  <c r="E8" i="1"/>
  <c r="D8" i="1"/>
  <c r="C8" i="1"/>
  <c r="BI15" i="1"/>
  <c r="BG15" i="1"/>
  <c r="BF15" i="1"/>
  <c r="BI13" i="1"/>
  <c r="BG13" i="1"/>
  <c r="BF13" i="1"/>
  <c r="BI8" i="1"/>
  <c r="BG8" i="1"/>
  <c r="BF8" i="1"/>
  <c r="BC15" i="1"/>
  <c r="BC13" i="1"/>
  <c r="BC8" i="1"/>
  <c r="BA13" i="1"/>
  <c r="AY15" i="1"/>
  <c r="AY13" i="1"/>
  <c r="AY8" i="1"/>
  <c r="AS15" i="1"/>
  <c r="AS13" i="1"/>
  <c r="AS8" i="1"/>
  <c r="AE15" i="1"/>
  <c r="AE13" i="1"/>
  <c r="AE8" i="1"/>
  <c r="Y15" i="1"/>
  <c r="Y13" i="1"/>
  <c r="Y8" i="1"/>
  <c r="W15" i="1"/>
  <c r="W13" i="1"/>
  <c r="W8" i="1"/>
  <c r="BA15" i="1" l="1"/>
  <c r="AC8" i="1"/>
  <c r="M15" i="1"/>
  <c r="M13" i="1"/>
  <c r="M8" i="1"/>
  <c r="BA8" i="1"/>
  <c r="BZ20" i="14"/>
  <c r="AI15" i="1" l="1"/>
  <c r="AI13" i="1" l="1"/>
  <c r="AI8" i="1"/>
  <c r="CO36" i="14"/>
  <c r="CN36" i="14"/>
  <c r="CP32" i="14"/>
  <c r="CP31" i="14"/>
  <c r="CP27" i="14"/>
  <c r="CP26" i="14"/>
  <c r="CP25" i="14"/>
  <c r="CP24" i="14"/>
  <c r="CP23" i="14"/>
  <c r="CO20" i="14"/>
  <c r="CP17" i="14"/>
  <c r="CP16" i="14"/>
  <c r="CP15" i="14"/>
  <c r="CP12" i="14"/>
  <c r="CP11" i="14"/>
  <c r="CP9" i="14"/>
  <c r="CP8" i="14"/>
  <c r="CP7" i="14"/>
  <c r="BK8" i="1"/>
  <c r="BK15" i="1"/>
  <c r="S15" i="1"/>
  <c r="S13" i="1"/>
  <c r="CO37" i="14" l="1"/>
  <c r="CP36" i="14"/>
  <c r="CP20" i="14"/>
  <c r="CN37" i="14"/>
  <c r="BK13" i="1"/>
  <c r="CP37" i="14" l="1"/>
  <c r="AU15" i="1" l="1"/>
  <c r="AU13" i="1"/>
  <c r="AU8" i="1"/>
  <c r="AO8" i="1"/>
  <c r="U15" i="1"/>
  <c r="U13" i="1"/>
  <c r="T8" i="1"/>
  <c r="Q15" i="1"/>
  <c r="Q13" i="1"/>
  <c r="Q8" i="1"/>
  <c r="BT36" i="14"/>
  <c r="BS36" i="14"/>
  <c r="BU35" i="14"/>
  <c r="BU34" i="14"/>
  <c r="BU32" i="14"/>
  <c r="BU31" i="14"/>
  <c r="BU30" i="14"/>
  <c r="BU28" i="14"/>
  <c r="BU27" i="14"/>
  <c r="BU26" i="14"/>
  <c r="BU25" i="14"/>
  <c r="BU24" i="14"/>
  <c r="BU23" i="14"/>
  <c r="BU22" i="14"/>
  <c r="BT20" i="14"/>
  <c r="BU19" i="14"/>
  <c r="BU18" i="14"/>
  <c r="BU17" i="14"/>
  <c r="BU16" i="14"/>
  <c r="BU15" i="14"/>
  <c r="BU14" i="14"/>
  <c r="BU12" i="14"/>
  <c r="BU11" i="14"/>
  <c r="BU10" i="14"/>
  <c r="BU9" i="14"/>
  <c r="BU8" i="14"/>
  <c r="BU7" i="14"/>
  <c r="BU6" i="14"/>
  <c r="AW15" i="1"/>
  <c r="AW13" i="1"/>
  <c r="AW8" i="1"/>
  <c r="U8" i="1" l="1"/>
  <c r="BU20" i="14"/>
  <c r="BU36" i="14"/>
  <c r="AO13" i="1"/>
  <c r="AO15" i="1"/>
  <c r="BT37" i="14"/>
  <c r="BS37" i="14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A15" i="6"/>
  <c r="CZ15" i="6"/>
  <c r="CY15" i="6"/>
  <c r="CX15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CZ12" i="6"/>
  <c r="CX12" i="6"/>
  <c r="BK22" i="7"/>
  <c r="BK24" i="7" s="1"/>
  <c r="BJ22" i="7"/>
  <c r="BJ24" i="7" s="1"/>
  <c r="BI22" i="7"/>
  <c r="BI24" i="7" s="1"/>
  <c r="BH22" i="7"/>
  <c r="BH24" i="7" s="1"/>
  <c r="BG22" i="7"/>
  <c r="BG24" i="7" s="1"/>
  <c r="BF22" i="7"/>
  <c r="BF24" i="7" s="1"/>
  <c r="BE22" i="7"/>
  <c r="BE24" i="7" s="1"/>
  <c r="BD22" i="7"/>
  <c r="BD24" i="7" s="1"/>
  <c r="BC22" i="7"/>
  <c r="BC24" i="7" s="1"/>
  <c r="BB22" i="7"/>
  <c r="BB24" i="7" s="1"/>
  <c r="BA22" i="7"/>
  <c r="BA24" i="7" s="1"/>
  <c r="AZ22" i="7"/>
  <c r="AZ24" i="7" s="1"/>
  <c r="AY22" i="7"/>
  <c r="AY24" i="7" s="1"/>
  <c r="AX22" i="7"/>
  <c r="AX24" i="7" s="1"/>
  <c r="AW22" i="7"/>
  <c r="AW24" i="7" s="1"/>
  <c r="AV22" i="7"/>
  <c r="AV24" i="7" s="1"/>
  <c r="AU22" i="7"/>
  <c r="AU24" i="7" s="1"/>
  <c r="AT22" i="7"/>
  <c r="AT24" i="7" s="1"/>
  <c r="AS22" i="7"/>
  <c r="AS24" i="7" s="1"/>
  <c r="AR22" i="7"/>
  <c r="AR24" i="7" s="1"/>
  <c r="AP22" i="7"/>
  <c r="AP24" i="7" s="1"/>
  <c r="AO22" i="7"/>
  <c r="AO24" i="7" s="1"/>
  <c r="AN22" i="7"/>
  <c r="AN24" i="7" s="1"/>
  <c r="AM22" i="7"/>
  <c r="AM24" i="7" s="1"/>
  <c r="AL22" i="7"/>
  <c r="AL24" i="7" s="1"/>
  <c r="AI22" i="7"/>
  <c r="AI24" i="7" s="1"/>
  <c r="AH22" i="7"/>
  <c r="AH24" i="7" s="1"/>
  <c r="AG22" i="7"/>
  <c r="AG24" i="7" s="1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P20" i="7"/>
  <c r="AO20" i="7"/>
  <c r="AN20" i="7"/>
  <c r="AM20" i="7"/>
  <c r="AL20" i="7"/>
  <c r="AI20" i="7"/>
  <c r="AH20" i="7"/>
  <c r="AG20" i="7"/>
  <c r="BE15" i="1"/>
  <c r="BE13" i="1"/>
  <c r="BE8" i="1"/>
  <c r="K15" i="1"/>
  <c r="K13" i="1"/>
  <c r="K8" i="1"/>
  <c r="BU37" i="14" l="1"/>
  <c r="BL109" i="11" l="1"/>
  <c r="BL110" i="11"/>
  <c r="BM107" i="9"/>
  <c r="BM106" i="9"/>
  <c r="BL106" i="9"/>
  <c r="BL107" i="9"/>
  <c r="BM109" i="10"/>
  <c r="BL108" i="10"/>
  <c r="BM108" i="10"/>
  <c r="BM107" i="10"/>
  <c r="BM106" i="10"/>
  <c r="BM110" i="10"/>
  <c r="BL107" i="10"/>
  <c r="BL106" i="10"/>
  <c r="BL110" i="10"/>
  <c r="BL109" i="10"/>
  <c r="BC16" i="14"/>
  <c r="BC15" i="14"/>
  <c r="BC14" i="14"/>
  <c r="BC12" i="14"/>
  <c r="BC11" i="14"/>
  <c r="BC10" i="14"/>
  <c r="BC9" i="14"/>
  <c r="AG4" i="16" l="1"/>
  <c r="AG5" i="16"/>
  <c r="AG6" i="16"/>
  <c r="AG7" i="16"/>
  <c r="AG8" i="16"/>
  <c r="AG9" i="16"/>
  <c r="AG10" i="16"/>
  <c r="AG12" i="16"/>
  <c r="AG13" i="16"/>
  <c r="AG14" i="16"/>
  <c r="AC15" i="16"/>
  <c r="AE15" i="16"/>
  <c r="AF15" i="16"/>
  <c r="AG16" i="16"/>
  <c r="AG17" i="16"/>
  <c r="AG18" i="16"/>
  <c r="AC19" i="16"/>
  <c r="AD19" i="16"/>
  <c r="AE19" i="16"/>
  <c r="AF19" i="16"/>
  <c r="CK36" i="14"/>
  <c r="CI36" i="14"/>
  <c r="CH36" i="14"/>
  <c r="CF36" i="14"/>
  <c r="CE36" i="14"/>
  <c r="BZ36" i="14"/>
  <c r="BZ37" i="14" s="1"/>
  <c r="BY36" i="14"/>
  <c r="BW36" i="14"/>
  <c r="BV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M36" i="14"/>
  <c r="AL36" i="14"/>
  <c r="AJ36" i="14"/>
  <c r="AI36" i="14"/>
  <c r="AG36" i="14"/>
  <c r="AF36" i="14"/>
  <c r="AA36" i="14"/>
  <c r="Z36" i="14"/>
  <c r="W36" i="14"/>
  <c r="U36" i="14"/>
  <c r="T36" i="14"/>
  <c r="R36" i="14"/>
  <c r="Q36" i="14"/>
  <c r="L36" i="14"/>
  <c r="K36" i="14"/>
  <c r="I36" i="14"/>
  <c r="H36" i="14"/>
  <c r="E36" i="14"/>
  <c r="C36" i="14"/>
  <c r="B36" i="14"/>
  <c r="CM35" i="14"/>
  <c r="CG35" i="14"/>
  <c r="CD35" i="14"/>
  <c r="CA35" i="14"/>
  <c r="BR35" i="14"/>
  <c r="BQ36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N36" i="14"/>
  <c r="M35" i="14"/>
  <c r="J35" i="14"/>
  <c r="G35" i="14"/>
  <c r="D35" i="14"/>
  <c r="CM34" i="14"/>
  <c r="CG34" i="14"/>
  <c r="CD34" i="14"/>
  <c r="CA34" i="14"/>
  <c r="BR34" i="14"/>
  <c r="BO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M32" i="14"/>
  <c r="CG32" i="14"/>
  <c r="CD32" i="14"/>
  <c r="CA32" i="14"/>
  <c r="BX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X36" i="14"/>
  <c r="CM31" i="14"/>
  <c r="CG31" i="14"/>
  <c r="CD31" i="14"/>
  <c r="CA31" i="14"/>
  <c r="BX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AP36" i="14"/>
  <c r="AO36" i="14"/>
  <c r="CM30" i="14"/>
  <c r="CG30" i="14"/>
  <c r="CD30" i="14"/>
  <c r="CA30" i="14"/>
  <c r="BR30" i="14"/>
  <c r="BO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G30" i="14"/>
  <c r="D30" i="14"/>
  <c r="CM28" i="14"/>
  <c r="CG28" i="14"/>
  <c r="CD28" i="14"/>
  <c r="CA28" i="14"/>
  <c r="BR28" i="14"/>
  <c r="BO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M27" i="14"/>
  <c r="CG27" i="14"/>
  <c r="CD27" i="14"/>
  <c r="CA27" i="14"/>
  <c r="BX27" i="14"/>
  <c r="BR27" i="14"/>
  <c r="BO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M26" i="14"/>
  <c r="CG26" i="14"/>
  <c r="CD26" i="14"/>
  <c r="CA26" i="14"/>
  <c r="BX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M25" i="14"/>
  <c r="CG25" i="14"/>
  <c r="CD25" i="14"/>
  <c r="CA25" i="14"/>
  <c r="BX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M24" i="14"/>
  <c r="CG24" i="14"/>
  <c r="CD24" i="14"/>
  <c r="CA24" i="14"/>
  <c r="BX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L36" i="14"/>
  <c r="CG23" i="14"/>
  <c r="CD23" i="14"/>
  <c r="CA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G22" i="14"/>
  <c r="CD22" i="14"/>
  <c r="CA22" i="14"/>
  <c r="BR22" i="14"/>
  <c r="BO22" i="14"/>
  <c r="BI22" i="14"/>
  <c r="BF22" i="14"/>
  <c r="BC22" i="14"/>
  <c r="AZ22" i="14"/>
  <c r="AW22" i="14"/>
  <c r="AT22" i="14"/>
  <c r="AQ22" i="14"/>
  <c r="AN22" i="14"/>
  <c r="AK22" i="14"/>
  <c r="AH22" i="14"/>
  <c r="AE22" i="14"/>
  <c r="AD36" i="14"/>
  <c r="AC36" i="14"/>
  <c r="AB22" i="14"/>
  <c r="Y22" i="14"/>
  <c r="V22" i="14"/>
  <c r="S22" i="14"/>
  <c r="P22" i="14"/>
  <c r="M22" i="14"/>
  <c r="G22" i="14"/>
  <c r="D22" i="14"/>
  <c r="CL20" i="14"/>
  <c r="CI20" i="14"/>
  <c r="CH20" i="14"/>
  <c r="CF20" i="14"/>
  <c r="CE20" i="14"/>
  <c r="BY20" i="14"/>
  <c r="BW20" i="14"/>
  <c r="BV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S20" i="14"/>
  <c r="AR20" i="14"/>
  <c r="AM20" i="14"/>
  <c r="AG20" i="14"/>
  <c r="AF20" i="14"/>
  <c r="AA20" i="14"/>
  <c r="Z20" i="14"/>
  <c r="X20" i="14"/>
  <c r="W20" i="14"/>
  <c r="U20" i="14"/>
  <c r="T20" i="14"/>
  <c r="L20" i="14"/>
  <c r="K20" i="14"/>
  <c r="I20" i="14"/>
  <c r="H20" i="14"/>
  <c r="E20" i="14"/>
  <c r="C20" i="14"/>
  <c r="B20" i="14"/>
  <c r="CM19" i="14"/>
  <c r="CG19" i="14"/>
  <c r="CD19" i="14"/>
  <c r="CA19" i="14"/>
  <c r="BR19" i="14"/>
  <c r="BP20" i="14"/>
  <c r="BO19" i="14"/>
  <c r="BL19" i="14"/>
  <c r="BI19" i="14"/>
  <c r="BF19" i="14"/>
  <c r="BC19" i="14"/>
  <c r="AZ19" i="14"/>
  <c r="AW19" i="14"/>
  <c r="AT19" i="14"/>
  <c r="AQ19" i="14"/>
  <c r="AN19" i="14"/>
  <c r="AJ20" i="14"/>
  <c r="AI20" i="14"/>
  <c r="AH19" i="14"/>
  <c r="AE19" i="14"/>
  <c r="AB19" i="14"/>
  <c r="Y19" i="14"/>
  <c r="V19" i="14"/>
  <c r="S19" i="14"/>
  <c r="Q20" i="14"/>
  <c r="O20" i="14"/>
  <c r="N20" i="14"/>
  <c r="M19" i="14"/>
  <c r="G19" i="14"/>
  <c r="D19" i="14"/>
  <c r="CM18" i="14"/>
  <c r="CG18" i="14"/>
  <c r="CD18" i="14"/>
  <c r="CB20" i="14"/>
  <c r="CB37" i="14" s="1"/>
  <c r="CA18" i="14"/>
  <c r="BR18" i="14"/>
  <c r="BO18" i="14"/>
  <c r="BI18" i="14"/>
  <c r="BF18" i="14"/>
  <c r="BC18" i="14"/>
  <c r="AZ18" i="14"/>
  <c r="AW18" i="14"/>
  <c r="AT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M17" i="14"/>
  <c r="CG17" i="14"/>
  <c r="CD17" i="14"/>
  <c r="CA17" i="14"/>
  <c r="BX17" i="14"/>
  <c r="BR17" i="14"/>
  <c r="BO17" i="14"/>
  <c r="BL17" i="14"/>
  <c r="BI17" i="14"/>
  <c r="BF17" i="14"/>
  <c r="BC17" i="14"/>
  <c r="AZ17" i="14"/>
  <c r="AW17" i="14"/>
  <c r="AT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M16" i="14"/>
  <c r="CG16" i="14"/>
  <c r="CD16" i="14"/>
  <c r="CA16" i="14"/>
  <c r="BX16" i="14"/>
  <c r="BR16" i="14"/>
  <c r="BO16" i="14"/>
  <c r="BI16" i="14"/>
  <c r="BF16" i="14"/>
  <c r="AZ16" i="14"/>
  <c r="AW16" i="14"/>
  <c r="AT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AP20" i="14"/>
  <c r="AO20" i="14"/>
  <c r="CM15" i="14"/>
  <c r="CG15" i="14"/>
  <c r="CD15" i="14"/>
  <c r="CA15" i="14"/>
  <c r="BX15" i="14"/>
  <c r="BR15" i="14"/>
  <c r="BO15" i="14"/>
  <c r="BI15" i="14"/>
  <c r="BF15" i="14"/>
  <c r="AZ15" i="14"/>
  <c r="AW15" i="14"/>
  <c r="AT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M14" i="14"/>
  <c r="CG14" i="14"/>
  <c r="CD14" i="14"/>
  <c r="CA14" i="14"/>
  <c r="BR14" i="14"/>
  <c r="BO14" i="14"/>
  <c r="BI14" i="14"/>
  <c r="BF14" i="14"/>
  <c r="AZ14" i="14"/>
  <c r="AW14" i="14"/>
  <c r="AT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M12" i="14"/>
  <c r="CG12" i="14"/>
  <c r="CD12" i="14"/>
  <c r="CA12" i="14"/>
  <c r="BX12" i="14"/>
  <c r="BR12" i="14"/>
  <c r="BO12" i="14"/>
  <c r="BL12" i="14"/>
  <c r="BI12" i="14"/>
  <c r="BF12" i="14"/>
  <c r="AZ12" i="14"/>
  <c r="AW12" i="14"/>
  <c r="AT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M11" i="14"/>
  <c r="CG11" i="14"/>
  <c r="CD11" i="14"/>
  <c r="CA11" i="14"/>
  <c r="BX11" i="14"/>
  <c r="BR11" i="14"/>
  <c r="BO11" i="14"/>
  <c r="BI11" i="14"/>
  <c r="BF11" i="14"/>
  <c r="AZ11" i="14"/>
  <c r="AW11" i="14"/>
  <c r="AT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G10" i="14"/>
  <c r="CD10" i="14"/>
  <c r="CA10" i="14"/>
  <c r="BR10" i="14"/>
  <c r="BO10" i="14"/>
  <c r="BI10" i="14"/>
  <c r="BF10" i="14"/>
  <c r="AZ10" i="14"/>
  <c r="AW10" i="14"/>
  <c r="AT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M9" i="14"/>
  <c r="CJ9" i="14"/>
  <c r="CG9" i="14"/>
  <c r="CD9" i="14"/>
  <c r="CA9" i="14"/>
  <c r="BX9" i="14"/>
  <c r="BR9" i="14"/>
  <c r="BO9" i="14"/>
  <c r="BL9" i="14"/>
  <c r="BI9" i="14"/>
  <c r="BF9" i="14"/>
  <c r="AZ9" i="14"/>
  <c r="AW9" i="14"/>
  <c r="AT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M8" i="14"/>
  <c r="CJ8" i="14"/>
  <c r="CG8" i="14"/>
  <c r="CD8" i="14"/>
  <c r="CA8" i="14"/>
  <c r="BX8" i="14"/>
  <c r="BR8" i="14"/>
  <c r="BO8" i="14"/>
  <c r="BL8" i="14"/>
  <c r="BI8" i="14"/>
  <c r="BF8" i="14"/>
  <c r="BC8" i="14"/>
  <c r="AZ8" i="14"/>
  <c r="AW8" i="14"/>
  <c r="AT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M7" i="14"/>
  <c r="CG7" i="14"/>
  <c r="CD7" i="14"/>
  <c r="CA7" i="14"/>
  <c r="BR7" i="14"/>
  <c r="BO7" i="14"/>
  <c r="BI7" i="14"/>
  <c r="BF7" i="14"/>
  <c r="AZ7" i="14"/>
  <c r="AW7" i="14"/>
  <c r="AT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G6" i="14"/>
  <c r="CD6" i="14"/>
  <c r="CA6" i="14"/>
  <c r="BR6" i="14"/>
  <c r="BO6" i="14"/>
  <c r="BI6" i="14"/>
  <c r="BF6" i="14"/>
  <c r="AZ6" i="14"/>
  <c r="AW6" i="14"/>
  <c r="AT6" i="14"/>
  <c r="AN6" i="14"/>
  <c r="AK6" i="14"/>
  <c r="AH6" i="14"/>
  <c r="AD20" i="14"/>
  <c r="AC20" i="14"/>
  <c r="AB6" i="14"/>
  <c r="Y6" i="14"/>
  <c r="V6" i="14"/>
  <c r="S6" i="14"/>
  <c r="P6" i="14"/>
  <c r="M6" i="14"/>
  <c r="G6" i="14"/>
  <c r="D6" i="14"/>
  <c r="BY37" i="14" l="1"/>
  <c r="BX36" i="14"/>
  <c r="BL36" i="14"/>
  <c r="BL20" i="14"/>
  <c r="I37" i="14"/>
  <c r="V36" i="14"/>
  <c r="AI37" i="14"/>
  <c r="AY37" i="14"/>
  <c r="BC20" i="14"/>
  <c r="J36" i="14"/>
  <c r="AT36" i="14"/>
  <c r="BF20" i="14"/>
  <c r="B37" i="14"/>
  <c r="AR37" i="14"/>
  <c r="BD37" i="14"/>
  <c r="V20" i="14"/>
  <c r="BX20" i="14"/>
  <c r="BF36" i="14"/>
  <c r="AT20" i="14"/>
  <c r="J20" i="14"/>
  <c r="BG37" i="14"/>
  <c r="AC37" i="14"/>
  <c r="C37" i="14"/>
  <c r="AS37" i="14"/>
  <c r="BE37" i="14"/>
  <c r="BV37" i="14"/>
  <c r="AF37" i="14"/>
  <c r="BW37" i="14"/>
  <c r="H37" i="14"/>
  <c r="T37" i="14"/>
  <c r="U37" i="14"/>
  <c r="BJ37" i="14"/>
  <c r="BK37" i="14"/>
  <c r="P36" i="14"/>
  <c r="D36" i="14"/>
  <c r="D20" i="14"/>
  <c r="E37" i="14"/>
  <c r="K37" i="14"/>
  <c r="L37" i="14"/>
  <c r="M20" i="14"/>
  <c r="M36" i="14"/>
  <c r="S36" i="14"/>
  <c r="Q37" i="14"/>
  <c r="S20" i="14"/>
  <c r="Y20" i="14"/>
  <c r="X37" i="14"/>
  <c r="W37" i="14"/>
  <c r="AH36" i="14"/>
  <c r="AE36" i="14"/>
  <c r="AG37" i="14"/>
  <c r="AH20" i="14"/>
  <c r="AN20" i="14"/>
  <c r="AL37" i="14"/>
  <c r="AM37" i="14"/>
  <c r="AK36" i="14"/>
  <c r="AN36" i="14"/>
  <c r="BC36" i="14"/>
  <c r="AZ36" i="14"/>
  <c r="AW36" i="14"/>
  <c r="AU37" i="14"/>
  <c r="AV37" i="14"/>
  <c r="AW20" i="14"/>
  <c r="AX37" i="14"/>
  <c r="AZ20" i="14"/>
  <c r="BA37" i="14"/>
  <c r="BB37" i="14"/>
  <c r="BI20" i="14"/>
  <c r="BH37" i="14"/>
  <c r="BO20" i="14"/>
  <c r="BM37" i="14"/>
  <c r="BN37" i="14"/>
  <c r="BI36" i="14"/>
  <c r="BO36" i="14"/>
  <c r="CA36" i="14"/>
  <c r="BR36" i="14"/>
  <c r="BR20" i="14"/>
  <c r="CA20" i="14"/>
  <c r="CD20" i="14"/>
  <c r="CG20" i="14"/>
  <c r="CE37" i="14"/>
  <c r="CG36" i="14"/>
  <c r="CF37" i="14"/>
  <c r="CI37" i="14"/>
  <c r="CJ20" i="14"/>
  <c r="CJ36" i="14"/>
  <c r="CH37" i="14"/>
  <c r="CM36" i="14"/>
  <c r="CL37" i="14"/>
  <c r="CM20" i="14"/>
  <c r="AA37" i="14"/>
  <c r="AB36" i="14"/>
  <c r="AB20" i="14"/>
  <c r="Z37" i="14"/>
  <c r="AG19" i="16"/>
  <c r="AG11" i="16"/>
  <c r="AG15" i="16"/>
  <c r="AP37" i="14"/>
  <c r="BP37" i="14"/>
  <c r="AD37" i="14"/>
  <c r="N37" i="14"/>
  <c r="CD36" i="14"/>
  <c r="AO37" i="14"/>
  <c r="F37" i="14"/>
  <c r="AJ37" i="14"/>
  <c r="AK19" i="14"/>
  <c r="AK20" i="14" s="1"/>
  <c r="BQ20" i="14"/>
  <c r="BQ37" i="14" s="1"/>
  <c r="AE6" i="14"/>
  <c r="AE20" i="14" s="1"/>
  <c r="CC20" i="14"/>
  <c r="CC37" i="14" s="1"/>
  <c r="CK20" i="14"/>
  <c r="CK37" i="14" s="1"/>
  <c r="Y36" i="14"/>
  <c r="R20" i="14"/>
  <c r="R37" i="14" s="1"/>
  <c r="O36" i="14"/>
  <c r="O37" i="14" s="1"/>
  <c r="G18" i="14"/>
  <c r="G20" i="14" s="1"/>
  <c r="AQ20" i="14"/>
  <c r="P19" i="14"/>
  <c r="P20" i="14" s="1"/>
  <c r="AQ36" i="14"/>
  <c r="G34" i="14"/>
  <c r="G36" i="14" s="1"/>
  <c r="BX37" i="14" l="1"/>
  <c r="BF37" i="14"/>
  <c r="BL37" i="14"/>
  <c r="J37" i="14"/>
  <c r="V37" i="14"/>
  <c r="AT37" i="14"/>
  <c r="CD37" i="14"/>
  <c r="M37" i="14"/>
  <c r="S37" i="14"/>
  <c r="BC37" i="14"/>
  <c r="AK37" i="14"/>
  <c r="AZ37" i="14"/>
  <c r="D37" i="14"/>
  <c r="BR37" i="14"/>
  <c r="AE37" i="14"/>
  <c r="Y37" i="14"/>
  <c r="AW37" i="14"/>
  <c r="CG37" i="14"/>
  <c r="P37" i="14"/>
  <c r="G37" i="14"/>
  <c r="AH37" i="14"/>
  <c r="AN37" i="14"/>
  <c r="AQ37" i="14"/>
  <c r="BI37" i="14"/>
  <c r="BO37" i="14"/>
  <c r="CA37" i="14"/>
  <c r="CJ37" i="14"/>
  <c r="CM37" i="14"/>
  <c r="AB37" i="14"/>
  <c r="AE22" i="7" l="1"/>
  <c r="AE24" i="7" s="1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V22" i="7"/>
  <c r="V24" i="7" s="1"/>
  <c r="U22" i="7"/>
  <c r="U24" i="7" s="1"/>
  <c r="T22" i="7"/>
  <c r="T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D22" i="7"/>
  <c r="C22" i="7"/>
  <c r="AE20" i="7"/>
  <c r="AD20" i="7"/>
  <c r="AC20" i="7"/>
  <c r="AB20" i="7"/>
  <c r="AA20" i="7"/>
  <c r="Z20" i="7"/>
  <c r="Y20" i="7"/>
  <c r="X20" i="7"/>
  <c r="W20" i="7"/>
  <c r="V20" i="7"/>
  <c r="U20" i="7"/>
  <c r="T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2" i="7"/>
  <c r="B20" i="7"/>
  <c r="AG30" i="8"/>
  <c r="AG29" i="8"/>
  <c r="AG28" i="8"/>
  <c r="AG25" i="8"/>
  <c r="AG24" i="8"/>
  <c r="AG22" i="8"/>
  <c r="AG21" i="8"/>
  <c r="AG19" i="8"/>
  <c r="AG18" i="8"/>
  <c r="AG17" i="8"/>
  <c r="AG15" i="8"/>
  <c r="AG14" i="8"/>
  <c r="AG10" i="8"/>
  <c r="AG9" i="8"/>
  <c r="AG6" i="8"/>
  <c r="AG5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23" i="8"/>
  <c r="B11" i="8"/>
  <c r="E24" i="7" l="1"/>
  <c r="D24" i="7"/>
  <c r="BM108" i="9"/>
  <c r="BL105" i="11"/>
  <c r="BL108" i="9"/>
  <c r="BL111" i="11"/>
  <c r="BL111" i="9"/>
  <c r="BM111" i="9"/>
  <c r="BM105" i="9"/>
  <c r="BL105" i="9"/>
  <c r="BL111" i="10"/>
  <c r="BM105" i="10"/>
  <c r="BM111" i="10"/>
  <c r="BL105" i="10"/>
  <c r="H27" i="8"/>
  <c r="T27" i="8"/>
  <c r="D27" i="8"/>
  <c r="AF27" i="8"/>
  <c r="B24" i="7"/>
  <c r="C24" i="7"/>
  <c r="B27" i="8"/>
  <c r="AE27" i="8"/>
  <c r="O27" i="8"/>
  <c r="R27" i="8"/>
  <c r="F27" i="8"/>
  <c r="M27" i="8"/>
  <c r="C27" i="8"/>
  <c r="J27" i="8"/>
  <c r="Q27" i="8"/>
  <c r="V27" i="8"/>
  <c r="AC27" i="8"/>
  <c r="Y27" i="8"/>
  <c r="X27" i="8"/>
  <c r="U27" i="8"/>
  <c r="S27" i="8"/>
  <c r="G27" i="8"/>
  <c r="E27" i="8"/>
  <c r="AD27" i="8"/>
  <c r="AB27" i="8"/>
  <c r="AA27" i="8"/>
  <c r="Z27" i="8"/>
  <c r="W27" i="8"/>
  <c r="P27" i="8"/>
  <c r="N27" i="8"/>
  <c r="L27" i="8"/>
  <c r="K27" i="8"/>
  <c r="I27" i="8"/>
  <c r="AG16" i="8"/>
  <c r="AG26" i="8"/>
  <c r="AG23" i="8"/>
  <c r="AG27" i="8" l="1"/>
  <c r="AG15" i="18"/>
  <c r="AG14" i="18"/>
  <c r="AG13" i="18"/>
  <c r="AG12" i="18"/>
  <c r="AG11" i="18"/>
  <c r="AG10" i="18"/>
  <c r="AG7" i="18"/>
  <c r="AG6" i="18"/>
  <c r="AG5" i="18"/>
  <c r="AG4" i="18"/>
  <c r="AG14" i="17"/>
  <c r="AG13" i="17"/>
  <c r="AG12" i="17"/>
  <c r="AG11" i="17"/>
  <c r="AG10" i="17"/>
  <c r="AG9" i="17"/>
  <c r="AG8" i="17"/>
  <c r="AG7" i="17"/>
  <c r="AG6" i="17"/>
  <c r="AG5" i="17"/>
  <c r="AG4" i="17"/>
  <c r="AF15" i="17"/>
  <c r="AE15" i="17"/>
  <c r="AD15" i="17"/>
  <c r="AC15" i="17"/>
  <c r="AG31" i="15"/>
  <c r="AG30" i="15"/>
  <c r="AG27" i="15"/>
  <c r="AG26" i="15"/>
  <c r="AG25" i="15"/>
  <c r="AG24" i="15"/>
  <c r="AG23" i="15"/>
  <c r="AG22" i="15"/>
  <c r="AG21" i="15"/>
  <c r="AG18" i="15"/>
  <c r="AG17" i="15"/>
  <c r="AG16" i="15"/>
  <c r="AG15" i="15"/>
  <c r="AG14" i="15"/>
  <c r="AG11" i="15"/>
  <c r="AG10" i="15"/>
  <c r="AG9" i="15"/>
  <c r="AG8" i="15"/>
  <c r="AG7" i="15"/>
  <c r="AG6" i="15"/>
  <c r="AG5" i="15"/>
  <c r="AF32" i="15"/>
  <c r="AE32" i="15"/>
  <c r="AD32" i="15"/>
  <c r="AC32" i="15"/>
  <c r="AF28" i="15"/>
  <c r="AE28" i="15"/>
  <c r="AD28" i="15"/>
  <c r="AC28" i="15"/>
  <c r="AF19" i="15"/>
  <c r="AE19" i="15"/>
  <c r="AD19" i="15"/>
  <c r="AC19" i="15"/>
  <c r="AF12" i="15"/>
  <c r="AE12" i="15"/>
  <c r="AD12" i="15"/>
  <c r="AC12" i="15"/>
  <c r="AG10" i="13"/>
  <c r="AG8" i="13"/>
  <c r="AG7" i="13"/>
  <c r="AG6" i="13"/>
  <c r="AG5" i="13"/>
  <c r="AG4" i="13"/>
  <c r="AF9" i="13"/>
  <c r="AE9" i="13"/>
  <c r="AD9" i="13"/>
  <c r="AC9" i="13"/>
  <c r="AG32" i="15" l="1"/>
  <c r="AG19" i="15"/>
  <c r="AG28" i="15"/>
  <c r="AG12" i="15"/>
  <c r="AG15" i="17"/>
  <c r="BJ8" i="1"/>
  <c r="BH8" i="1"/>
  <c r="BD8" i="1"/>
  <c r="BB8" i="1"/>
  <c r="AZ8" i="1"/>
  <c r="AX8" i="1"/>
  <c r="AV8" i="1"/>
  <c r="AT8" i="1"/>
  <c r="AR8" i="1"/>
  <c r="AP8" i="1"/>
  <c r="AN8" i="1"/>
  <c r="AH8" i="1"/>
  <c r="AF8" i="1"/>
  <c r="AD8" i="1"/>
  <c r="AB8" i="1"/>
  <c r="Z8" i="1"/>
  <c r="X8" i="1"/>
  <c r="V8" i="1"/>
  <c r="R8" i="1"/>
  <c r="P8" i="1"/>
  <c r="N8" i="1"/>
  <c r="L8" i="1"/>
  <c r="J8" i="1"/>
  <c r="B8" i="1"/>
  <c r="BJ15" i="1" l="1"/>
  <c r="BH15" i="1"/>
  <c r="BD15" i="1"/>
  <c r="BB15" i="1"/>
  <c r="AZ15" i="1"/>
  <c r="AX15" i="1"/>
  <c r="AV15" i="1"/>
  <c r="AT15" i="1"/>
  <c r="AR15" i="1"/>
  <c r="AP15" i="1"/>
  <c r="AN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B15" i="1"/>
  <c r="BJ13" i="1"/>
  <c r="BH13" i="1"/>
  <c r="BD13" i="1"/>
  <c r="BB13" i="1"/>
  <c r="AZ13" i="1"/>
  <c r="AX13" i="1"/>
  <c r="AV13" i="1"/>
  <c r="AT13" i="1"/>
  <c r="AR13" i="1"/>
  <c r="AP13" i="1"/>
  <c r="AN13" i="1"/>
  <c r="AL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B13" i="1"/>
  <c r="AM8" i="1" l="1"/>
  <c r="AM15" i="1"/>
  <c r="AL8" i="1"/>
  <c r="AL15" i="1"/>
  <c r="BL14" i="7" l="1"/>
  <c r="BM14" i="7"/>
  <c r="AJ20" i="7"/>
  <c r="BL20" i="7" s="1"/>
  <c r="AJ22" i="7"/>
  <c r="BL22" i="7" s="1"/>
  <c r="AK20" i="7"/>
  <c r="BM20" i="7" s="1"/>
  <c r="AK22" i="7"/>
  <c r="BM22" i="7" s="1"/>
  <c r="AK24" i="7" l="1"/>
  <c r="BM24" i="7" s="1"/>
  <c r="AJ24" i="7"/>
  <c r="BL24" i="7" s="1"/>
  <c r="AK8" i="1"/>
  <c r="BM8" i="1" s="1"/>
  <c r="AJ8" i="1"/>
  <c r="BL8" i="1" s="1"/>
  <c r="AK13" i="1"/>
  <c r="BM13" i="1" s="1"/>
  <c r="AK15" i="1"/>
  <c r="BM15" i="1" s="1"/>
  <c r="AJ13" i="1"/>
  <c r="BL13" i="1" s="1"/>
  <c r="AJ15" i="1"/>
  <c r="BL15" i="1" s="1"/>
  <c r="AG12" i="8"/>
  <c r="S11" i="8"/>
  <c r="AG11" i="8" s="1"/>
  <c r="AG11" i="13"/>
  <c r="AG9" i="13"/>
  <c r="AG17" i="18"/>
  <c r="AG16" i="18" s="1"/>
</calcChain>
</file>

<file path=xl/sharedStrings.xml><?xml version="1.0" encoding="utf-8"?>
<sst xmlns="http://schemas.openxmlformats.org/spreadsheetml/2006/main" count="5092" uniqueCount="313">
  <si>
    <t>Particulars</t>
  </si>
  <si>
    <t>Acko</t>
  </si>
  <si>
    <t>AICL</t>
  </si>
  <si>
    <t>Bajaj Allianz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</si>
  <si>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</si>
  <si>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</si>
  <si>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</si>
  <si>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</si>
  <si>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</si>
  <si>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</si>
  <si>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</si>
  <si>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</si>
  <si>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</si>
  <si>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</si>
  <si>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</si>
  <si>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</si>
  <si>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</si>
  <si>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</si>
  <si>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</si>
  <si>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</si>
  <si>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</si>
  <si>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</si>
  <si>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</si>
  <si>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</si>
  <si>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</si>
  <si>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</si>
  <si>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</si>
  <si>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</si>
  <si>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</si>
  <si>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</si>
  <si>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</si>
  <si>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</si>
  <si>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</si>
  <si>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</si>
  <si>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</si>
  <si>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</si>
  <si>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</si>
  <si>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</si>
  <si>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</si>
  <si>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</si>
  <si>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</si>
  <si>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</si>
  <si>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</si>
  <si>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</si>
  <si>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</si>
  <si>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</si>
  <si>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</si>
  <si>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</si>
  <si>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</si>
  <si>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</si>
  <si>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</si>
  <si>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</si>
  <si>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</si>
  <si>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</si>
  <si>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</si>
  <si>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</si>
  <si>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</si>
  <si>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</si>
  <si>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</si>
  <si>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</si>
  <si>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</si>
  <si>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</si>
  <si>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</si>
  <si>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</si>
  <si>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</si>
  <si>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</si>
  <si>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</si>
  <si>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</si>
  <si>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</si>
  <si>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</si>
  <si>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</si>
  <si>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</si>
  <si>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</si>
  <si>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</si>
  <si>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</si>
  <si>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</si>
  <si>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</si>
  <si>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</si>
  <si>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</si>
  <si>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</si>
  <si>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</si>
  <si>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</si>
  <si>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</si>
  <si>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</si>
  <si>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</si>
  <si>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</si>
  <si>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</si>
  <si>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</si>
  <si>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</si>
  <si>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</si>
  <si>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</si>
  <si>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</si>
  <si>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</si>
  <si>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</si>
  <si>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</si>
  <si>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</si>
  <si>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</si>
  <si>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</si>
  <si>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</si>
  <si>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</si>
  <si>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</si>
  <si>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</si>
  <si>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</si>
  <si>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</si>
  <si>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</si>
  <si>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</si>
  <si>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</si>
  <si>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</si>
  <si>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</si>
  <si>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</si>
  <si>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</si>
  <si>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</si>
  <si>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</si>
  <si>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</si>
  <si>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</si>
  <si>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</si>
  <si>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</si>
  <si>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</si>
  <si>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</si>
  <si>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</si>
  <si>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</si>
  <si>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</si>
  <si>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</si>
  <si>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Gross Premium Growth Rate</t>
  </si>
  <si>
    <t>Gross Direct Premium to Net Worth Ratio</t>
  </si>
  <si>
    <t>Growth Rate of Net Worth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</si>
  <si>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</si>
  <si>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</si>
  <si>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</si>
  <si>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</si>
  <si>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</si>
  <si>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</si>
  <si>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</si>
  <si>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</si>
  <si>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</si>
  <si>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</si>
  <si>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</si>
  <si>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</si>
  <si>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</si>
  <si>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Total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</si>
  <si>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</si>
  <si>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</si>
  <si>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</si>
  <si>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</si>
  <si>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</si>
  <si>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</si>
  <si>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</si>
  <si>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</si>
  <si>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</si>
  <si>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</si>
  <si>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</si>
  <si>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</si>
  <si>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</si>
  <si>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</si>
  <si>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</si>
  <si>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</si>
  <si>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</si>
  <si>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</si>
  <si>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</si>
  <si>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</si>
  <si>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</si>
  <si>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</si>
  <si>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(f) Subsidiaries</t>
  </si>
  <si>
    <t>(g) Investment properties - Real Estate</t>
  </si>
  <si>
    <t>Other than Approved Investments</t>
  </si>
  <si>
    <t>TOTAL LONG TERM INVESTMENTS</t>
  </si>
  <si>
    <t>SHORT TERM INVESTMENTS</t>
  </si>
  <si>
    <t>TOTAL SHORT TERM INVESTMENTS</t>
  </si>
  <si>
    <t>(e) Other securities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</si>
  <si>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</si>
  <si>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</si>
  <si>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</si>
  <si>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</si>
  <si>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</si>
  <si>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</si>
  <si>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</si>
  <si>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</si>
  <si>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</si>
  <si>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</si>
  <si>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</si>
  <si>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</si>
  <si>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</si>
  <si>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</si>
  <si>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</si>
  <si>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</si>
  <si>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</si>
  <si>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</si>
  <si>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</si>
  <si>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</si>
  <si>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</si>
  <si>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Net Commission</t>
  </si>
  <si>
    <t xml:space="preserve">NL-5 Claims </t>
  </si>
  <si>
    <t>Net Earned Premium</t>
  </si>
  <si>
    <t xml:space="preserve">NL-4 Premium </t>
  </si>
  <si>
    <t>SOURCES OF FUNDS</t>
  </si>
  <si>
    <t>Share Capital</t>
  </si>
  <si>
    <t>Reserves and Surplus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</si>
  <si>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</si>
  <si>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</si>
  <si>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</si>
  <si>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</si>
  <si>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</si>
  <si>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</si>
  <si>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</si>
  <si>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</si>
  <si>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</si>
  <si>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</si>
  <si>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</si>
  <si>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</si>
  <si>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</si>
  <si>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</si>
  <si>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</si>
  <si>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</si>
  <si>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</si>
  <si>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</si>
  <si>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</si>
  <si>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</si>
  <si>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</si>
  <si>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</si>
  <si>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</si>
  <si>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</si>
  <si>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</si>
  <si>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</si>
  <si>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</si>
  <si>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</si>
  <si>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</si>
  <si>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</si>
  <si>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</si>
  <si>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</si>
  <si>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</si>
  <si>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</si>
  <si>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 xml:space="preserve">NL-2 Profit and Loss Account </t>
  </si>
  <si>
    <t>Aditya Birla Health</t>
  </si>
  <si>
    <t>Cholamandalam MS</t>
  </si>
  <si>
    <t>Manipal Cigna Health</t>
  </si>
  <si>
    <t>Navi</t>
  </si>
  <si>
    <t>Raheja QBE</t>
  </si>
  <si>
    <t>The New India Assurance</t>
  </si>
  <si>
    <t>The Oriental</t>
  </si>
  <si>
    <t>Reliance</t>
  </si>
  <si>
    <t>Kotak</t>
  </si>
  <si>
    <t>Care Health</t>
  </si>
  <si>
    <t>CROP</t>
  </si>
  <si>
    <t>Niva Bupa Health</t>
  </si>
  <si>
    <t>Digit</t>
  </si>
  <si>
    <t>NL-20 Analytical Ratios</t>
  </si>
  <si>
    <t xml:space="preserve">NL-36 Business Acquisition Through Different Channels </t>
  </si>
  <si>
    <t>NL-44 Motor TP Obligations (Quarterly Returns)</t>
  </si>
  <si>
    <t>Total Gross Direct Motor Own damage Insurance Business Premium</t>
  </si>
  <si>
    <t>Total Gross Direct Premium Income</t>
  </si>
  <si>
    <t>Outside India</t>
  </si>
  <si>
    <t>Total A</t>
  </si>
  <si>
    <t>Within India</t>
  </si>
  <si>
    <t>Indian Insurance Companies</t>
  </si>
  <si>
    <t>FRBs</t>
  </si>
  <si>
    <t>GIC Re</t>
  </si>
  <si>
    <t>Total B</t>
  </si>
  <si>
    <t>Grand Total A+B</t>
  </si>
  <si>
    <r>
      <t xml:space="preserve">NL-33 Reinsurance/Retrocession Risk Concentration
</t>
    </r>
    <r>
      <rPr>
        <sz val="12"/>
        <rFont val="Calibri"/>
        <family val="2"/>
        <scheme val="minor"/>
      </rPr>
      <t xml:space="preserve">Rs. In Lakhs </t>
    </r>
  </si>
  <si>
    <t>Claims paid to claims provisions</t>
  </si>
  <si>
    <t>Investment income ratio</t>
  </si>
  <si>
    <t>Reserve for Unexpired Risk</t>
  </si>
  <si>
    <t>Reserve for Premium Deficiency</t>
  </si>
  <si>
    <t>For Employee Benefits</t>
  </si>
  <si>
    <t>Debentures/ Bonds</t>
  </si>
  <si>
    <t>Banks</t>
  </si>
  <si>
    <t>Financial Institutions</t>
  </si>
  <si>
    <t xml:space="preserve">Gross Direct Premium </t>
  </si>
  <si>
    <t>Add : Premium on reinsurance accepted</t>
  </si>
  <si>
    <t>Less : Premium on reinsurance ceded</t>
  </si>
  <si>
    <t>Net Written Premium</t>
  </si>
  <si>
    <t>Add : Opening balance of UPR</t>
  </si>
  <si>
    <t>Less : Closing balance of UPR</t>
  </si>
  <si>
    <t>Claims Paid (Direct)</t>
  </si>
  <si>
    <t>Add : Re-insurance accepted to direct claims</t>
  </si>
  <si>
    <t>Less : Re-insurance ceded to claims paid</t>
  </si>
  <si>
    <t>Net Claims Paid</t>
  </si>
  <si>
    <t>Add : Claims Outstanding at the end of the year</t>
  </si>
  <si>
    <t>Less : Claims Outstanding at the beginning of the year</t>
  </si>
  <si>
    <t>Net Incurred Claims</t>
  </si>
  <si>
    <t xml:space="preserve">Commission &amp; Remuneration </t>
  </si>
  <si>
    <t>Rewards</t>
  </si>
  <si>
    <t>Distribution fees</t>
  </si>
  <si>
    <t>Gross Commission</t>
  </si>
  <si>
    <t>Add : Commission on Re-insurance accepted</t>
  </si>
  <si>
    <t>Less : Commission on Re-insurance ceded</t>
  </si>
  <si>
    <t>Investments in Infrastructure and Housing</t>
  </si>
  <si>
    <t>(c) Derivative Instruments</t>
  </si>
  <si>
    <t>(d) Debentures/ Bonds</t>
  </si>
  <si>
    <t>(g) Investment properties - Real Estate</t>
  </si>
  <si>
    <t>Fair Value Change- Shareholder's Funds</t>
  </si>
  <si>
    <t>Fair Value Change- Policyholder's Funds</t>
  </si>
  <si>
    <t>Total Fair Value Change Account</t>
  </si>
  <si>
    <t>Niva Bupa</t>
  </si>
  <si>
    <t>(a) For Long term policies</t>
  </si>
  <si>
    <t>(b) for Other Policies</t>
  </si>
  <si>
    <t>For taxation (less advance tax paid and taxes deducted at source)</t>
  </si>
  <si>
    <t>LIABILITY</t>
  </si>
  <si>
    <t>Upto 9 months 2022-23</t>
  </si>
  <si>
    <t>For Q3 2022-23</t>
  </si>
  <si>
    <t>NL-3 Balance Sheet as at 31 December 2022</t>
  </si>
  <si>
    <t>NL-10 Reserves and Surplus as at 31 December 2022</t>
  </si>
  <si>
    <t>NL-11 Borrowings Schedule as at 31 December 2022</t>
  </si>
  <si>
    <t>NL-12 Investments as at 31 December 2022</t>
  </si>
  <si>
    <t>NL-13 Loans as at 31 December 2022</t>
  </si>
  <si>
    <t>NL-14 Fixed Assets. Net Block as at 31 December 2022</t>
  </si>
  <si>
    <t>NL-15 Cash and Bank Balance as at 31 December 2022</t>
  </si>
  <si>
    <t>NL-17 Current Liabilities as at 31 December 2022</t>
  </si>
  <si>
    <t>NL-18 Provisions Schedule as at 31 December 2022</t>
  </si>
  <si>
    <t>NL-26 Solvency Margin KGII for the period ended 31 December 2022</t>
  </si>
  <si>
    <t>Gross Direct Motor Third Party Insurance Business Premium in respect of liability only policies (L)</t>
  </si>
  <si>
    <t>Gross Direct Motor Third Party Insurance Business Premium in respect of package policies (P)</t>
  </si>
  <si>
    <t>Total Gross Direct Motor Third Party Insurance Business Premium (L+P)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</si>
</sst>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</cellStyleXfs>
  <cellXfs count="151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7" fillId="0" borderId="0" xfId="0" applyNumberFormat="1" applyFont="1"/>
    <xf numFmtId="1" fontId="7" fillId="0" borderId="0" xfId="0" applyNumberFormat="1" applyFont="1" applyAlignment="1">
      <alignment wrapText="1"/>
    </xf>
    <xf numFmtId="1" fontId="2" fillId="0" borderId="1" xfId="0" applyNumberFormat="1" applyFont="1" applyBorder="1"/>
    <xf numFmtId="1" fontId="2" fillId="0" borderId="0" xfId="0" applyNumberFormat="1" applyFont="1"/>
    <xf numFmtId="1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8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1" fontId="0" fillId="0" borderId="0" xfId="0" applyNumberFormat="1" applyAlignment="1">
      <alignment vertical="center"/>
    </xf>
    <xf numFmtId="1" fontId="1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/>
    <xf numFmtId="0" fontId="0" fillId="0" borderId="0" xfId="0" applyAlignment="1">
      <alignment horizontal="right"/>
    </xf>
    <xf numFmtId="2" fontId="1" fillId="0" borderId="1" xfId="0" applyNumberFormat="1" applyFont="1" applyBorder="1" applyAlignment="1">
      <alignment wrapText="1"/>
    </xf>
    <xf numFmtId="2" fontId="1" fillId="0" borderId="0" xfId="0" applyNumberFormat="1" applyFont="1"/>
    <xf numFmtId="1" fontId="0" fillId="0" borderId="7" xfId="0" applyNumberFormat="1" applyBorder="1"/>
    <xf numFmtId="165" fontId="0" fillId="0" borderId="1" xfId="0" applyNumberFormat="1" applyBorder="1"/>
    <xf numFmtId="1" fontId="1" fillId="0" borderId="7" xfId="0" applyNumberFormat="1" applyFont="1" applyBorder="1" applyAlignment="1">
      <alignment horizontal="center"/>
    </xf>
    <xf numFmtId="1" fontId="1" fillId="0" borderId="0" xfId="0" applyNumberFormat="1" applyFont="1" applyBorder="1"/>
    <xf numFmtId="1" fontId="1" fillId="2" borderId="0" xfId="0" applyNumberFormat="1" applyFont="1" applyFill="1" applyBorder="1"/>
    <xf numFmtId="3" fontId="0" fillId="0" borderId="0" xfId="0" applyNumberFormat="1"/>
    <xf numFmtId="1" fontId="0" fillId="0" borderId="2" xfId="0" applyNumberFormat="1" applyBorder="1"/>
    <xf numFmtId="1" fontId="0" fillId="0" borderId="9" xfId="0" applyNumberFormat="1" applyBorder="1"/>
    <xf numFmtId="4" fontId="0" fillId="0" borderId="0" xfId="0" applyNumberFormat="1"/>
    <xf numFmtId="1" fontId="0" fillId="0" borderId="10" xfId="0" applyNumberFormat="1" applyBorder="1"/>
    <xf numFmtId="1" fontId="0" fillId="0" borderId="11" xfId="0" applyNumberFormat="1" applyBorder="1" applyAlignment="1">
      <alignment vertical="center"/>
    </xf>
    <xf numFmtId="0" fontId="0" fillId="0" borderId="11" xfId="0" applyBorder="1"/>
    <xf numFmtId="1" fontId="0" fillId="0" borderId="11" xfId="0" applyNumberFormat="1" applyBorder="1"/>
    <xf numFmtId="1" fontId="0" fillId="0" borderId="12" xfId="0" applyNumberFormat="1" applyBorder="1"/>
    <xf numFmtId="1" fontId="1" fillId="0" borderId="11" xfId="0" applyNumberFormat="1" applyFont="1" applyBorder="1"/>
    <xf numFmtId="1" fontId="2" fillId="0" borderId="11" xfId="0" applyNumberFormat="1" applyFont="1" applyBorder="1"/>
    <xf numFmtId="1" fontId="11" fillId="0" borderId="6" xfId="0" applyNumberFormat="1" applyFont="1" applyBorder="1"/>
    <xf numFmtId="1" fontId="11" fillId="0" borderId="13" xfId="0" applyNumberFormat="1" applyFont="1" applyBorder="1"/>
    <xf numFmtId="1" fontId="11" fillId="0" borderId="11" xfId="0" applyNumberFormat="1" applyFont="1" applyBorder="1"/>
    <xf numFmtId="9" fontId="0" fillId="0" borderId="11" xfId="0" applyNumberFormat="1" applyBorder="1"/>
    <xf numFmtId="10" fontId="0" fillId="0" borderId="11" xfId="0" applyNumberFormat="1" applyBorder="1"/>
    <xf numFmtId="2" fontId="0" fillId="0" borderId="11" xfId="0" applyNumberFormat="1" applyBorder="1"/>
    <xf numFmtId="0" fontId="0" fillId="0" borderId="11" xfId="0" applyFill="1" applyBorder="1"/>
    <xf numFmtId="1" fontId="0" fillId="0" borderId="11" xfId="0" applyNumberFormat="1" applyBorder="1" applyAlignment="1">
      <alignment horizontal="right"/>
    </xf>
    <xf numFmtId="1" fontId="1" fillId="0" borderId="11" xfId="0" applyNumberFormat="1" applyFont="1" applyBorder="1" applyAlignment="1">
      <alignment horizontal="left" wrapText="1"/>
    </xf>
    <xf numFmtId="1" fontId="1" fillId="0" borderId="11" xfId="0" applyNumberFormat="1" applyFont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6" fillId="2" borderId="11" xfId="0" applyNumberFormat="1" applyFont="1" applyFill="1" applyBorder="1"/>
    <xf numFmtId="1" fontId="1" fillId="2" borderId="11" xfId="0" applyNumberFormat="1" applyFont="1" applyFill="1" applyBorder="1"/>
    <xf numFmtId="1" fontId="1" fillId="0" borderId="11" xfId="0" applyNumberFormat="1" applyFont="1" applyBorder="1" applyAlignment="1">
      <alignment horizontal="left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vertical="center" wrapText="1"/>
    </xf>
    <xf numFmtId="1" fontId="6" fillId="2" borderId="11" xfId="0" applyNumberFormat="1" applyFont="1" applyFill="1" applyBorder="1" applyAlignment="1">
      <alignment vertical="center"/>
    </xf>
    <xf numFmtId="1" fontId="1" fillId="0" borderId="11" xfId="0" applyNumberFormat="1" applyFont="1" applyBorder="1" applyAlignment="1">
      <alignment vertical="center" wrapText="1"/>
    </xf>
    <xf numFmtId="1" fontId="0" fillId="3" borderId="11" xfId="0" applyNumberFormat="1" applyFill="1" applyBorder="1"/>
    <xf numFmtId="1" fontId="1" fillId="3" borderId="11" xfId="0" applyNumberFormat="1" applyFont="1" applyFill="1" applyBorder="1"/>
    <xf numFmtId="9" fontId="0" fillId="0" borderId="1" xfId="1" applyNumberFormat="1" applyFont="1" applyBorder="1"/>
    <xf numFmtId="1" fontId="8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 wrapText="1"/>
    </xf>
    <xf numFmtId="1" fontId="0" fillId="0" borderId="11" xfId="0" applyNumberFormat="1" applyBorder="1" applyAlignment="1">
      <alignment wrapText="1"/>
    </xf>
    <xf numFmtId="1" fontId="0" fillId="2" borderId="11" xfId="0" applyNumberFormat="1" applyFill="1" applyBorder="1"/>
    <xf numFmtId="1" fontId="6" fillId="0" borderId="11" xfId="0" applyNumberFormat="1" applyFont="1" applyBorder="1"/>
    <xf numFmtId="1" fontId="6" fillId="0" borderId="11" xfId="0" applyNumberFormat="1" applyFont="1" applyBorder="1" applyAlignment="1">
      <alignment wrapText="1"/>
    </xf>
    <xf numFmtId="1" fontId="1" fillId="0" borderId="11" xfId="0" applyNumberFormat="1" applyFont="1" applyBorder="1" applyAlignment="1">
      <alignment wrapText="1"/>
    </xf>
    <xf numFmtId="1" fontId="14" fillId="2" borderId="11" xfId="0" applyNumberFormat="1" applyFont="1" applyFill="1" applyBorder="1" applyAlignment="1">
      <alignment vertical="center"/>
    </xf>
    <xf numFmtId="1" fontId="2" fillId="0" borderId="11" xfId="0" applyNumberFormat="1" applyFont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9" fontId="0" fillId="0" borderId="11" xfId="1" applyFont="1" applyBorder="1"/>
    <xf numFmtId="10" fontId="0" fillId="0" borderId="11" xfId="1" applyNumberFormat="1" applyFont="1" applyBorder="1"/>
    <xf numFmtId="10" fontId="0" fillId="0" borderId="11" xfId="0" applyNumberFormat="1" applyBorder="1" applyAlignment="1">
      <alignment horizontal="right"/>
    </xf>
    <xf numFmtId="10" fontId="0" fillId="0" borderId="11" xfId="1" applyNumberFormat="1" applyFont="1" applyBorder="1" applyAlignment="1">
      <alignment horizontal="right"/>
    </xf>
    <xf numFmtId="9" fontId="0" fillId="0" borderId="11" xfId="0" applyNumberFormat="1" applyBorder="1" applyAlignment="1">
      <alignment horizontal="right"/>
    </xf>
    <xf numFmtId="2" fontId="0" fillId="0" borderId="11" xfId="1" applyNumberFormat="1" applyFont="1" applyBorder="1"/>
    <xf numFmtId="2" fontId="0" fillId="0" borderId="11" xfId="0" applyNumberFormat="1" applyBorder="1" applyAlignment="1">
      <alignment horizontal="right"/>
    </xf>
    <xf numFmtId="9" fontId="0" fillId="0" borderId="11" xfId="1" applyNumberFormat="1" applyFont="1" applyBorder="1"/>
    <xf numFmtId="164" fontId="0" fillId="0" borderId="11" xfId="0" applyNumberFormat="1" applyBorder="1"/>
    <xf numFmtId="10" fontId="0" fillId="0" borderId="11" xfId="0" applyNumberFormat="1" applyFill="1" applyBorder="1"/>
    <xf numFmtId="0" fontId="0" fillId="0" borderId="11" xfId="0" applyBorder="1" applyAlignment="1">
      <alignment horizontal="right"/>
    </xf>
    <xf numFmtId="164" fontId="0" fillId="0" borderId="11" xfId="0" applyNumberFormat="1" applyBorder="1" applyAlignment="1">
      <alignment horizontal="right"/>
    </xf>
    <xf numFmtId="1" fontId="2" fillId="0" borderId="11" xfId="0" applyNumberFormat="1" applyFont="1" applyBorder="1" applyAlignment="1">
      <alignment horizontal="right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64" fontId="0" fillId="0" borderId="11" xfId="1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 wrapText="1"/>
    </xf>
  </cellXfs>
  <cellStyles count="10">
    <cellStyle name="Comma 2" xfId="3" xr:uid="{00000000-0005-0000-0000-000000000000}"/>
    <cellStyle name="Comma 3" xfId="5" xr:uid="{00000000-0005-0000-0000-000001000000}"/>
    <cellStyle name="Comma 4" xfId="7" xr:uid="{00000000-0005-0000-0000-000002000000}"/>
    <cellStyle name="Currency" xfId="2" builtinId="4"/>
    <cellStyle name="Excel Built-in Normal" xfId="6" xr:uid="{00000000-0005-0000-0000-000004000000}"/>
    <cellStyle name="Normal" xfId="0" builtinId="0"/>
    <cellStyle name="Normal 10" xfId="8" xr:uid="{00000000-0005-0000-0000-000006000000}"/>
    <cellStyle name="Normal 2" xfId="4" xr:uid="{00000000-0005-0000-0000-000007000000}"/>
    <cellStyle name="Normal 2 2" xfId="9" xr:uid="{00000000-0005-0000-0000-000008000000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:C3"/>
    </sheetView>
  </sheetViews>
  <sheetFormatPr defaultRowHeight="15" x14ac:dyDescent="0.25"/>
  <cols>
    <col min="1" max="1" width="33.140625" style="6" customWidth="1"/>
    <col min="2" max="63" width="16" style="6" customWidth="1"/>
    <col min="64" max="64" width="16" style="20" customWidth="1"/>
    <col min="65" max="65" width="16" style="7" customWidth="1"/>
    <col min="66" max="16384" width="9.140625" style="6"/>
  </cols>
  <sheetData>
    <row r="1" spans="1:65" ht="18.75" x14ac:dyDescent="0.3">
      <c r="A1" s="4" t="s">
        <v>32</v>
      </c>
    </row>
    <row r="2" spans="1:65" x14ac:dyDescent="0.25">
      <c r="A2" s="5" t="s">
        <v>98</v>
      </c>
    </row>
    <row r="3" spans="1:65" s="37" customFormat="1" x14ac:dyDescent="0.25">
      <c r="A3" s="36" t="s">
        <v>0</v>
      </c>
      <c r="B3" s="127" t="s">
        <v>1</v>
      </c>
      <c r="C3" s="128"/>
      <c r="D3" s="127" t="s">
        <v>232</v>
      </c>
      <c r="E3" s="128"/>
      <c r="F3" s="127" t="s">
        <v>2</v>
      </c>
      <c r="G3" s="128"/>
      <c r="H3" s="127" t="s">
        <v>3</v>
      </c>
      <c r="I3" s="128"/>
      <c r="J3" s="127" t="s">
        <v>241</v>
      </c>
      <c r="K3" s="128"/>
      <c r="L3" s="127" t="s">
        <v>233</v>
      </c>
      <c r="M3" s="128"/>
      <c r="N3" s="127" t="s">
        <v>244</v>
      </c>
      <c r="O3" s="128"/>
      <c r="P3" s="127" t="s">
        <v>5</v>
      </c>
      <c r="Q3" s="128"/>
      <c r="R3" s="127" t="s">
        <v>4</v>
      </c>
      <c r="S3" s="128"/>
      <c r="T3" s="127" t="s">
        <v>6</v>
      </c>
      <c r="U3" s="128"/>
      <c r="V3" s="127" t="s">
        <v>7</v>
      </c>
      <c r="W3" s="128"/>
      <c r="X3" s="127" t="s">
        <v>8</v>
      </c>
      <c r="Y3" s="128"/>
      <c r="Z3" s="127" t="s">
        <v>9</v>
      </c>
      <c r="AA3" s="128"/>
      <c r="AB3" s="127" t="s">
        <v>240</v>
      </c>
      <c r="AC3" s="128"/>
      <c r="AD3" s="127" t="s">
        <v>10</v>
      </c>
      <c r="AE3" s="128"/>
      <c r="AF3" s="127" t="s">
        <v>11</v>
      </c>
      <c r="AG3" s="128"/>
      <c r="AH3" s="127" t="s">
        <v>234</v>
      </c>
      <c r="AI3" s="128"/>
      <c r="AJ3" s="127" t="s">
        <v>12</v>
      </c>
      <c r="AK3" s="128"/>
      <c r="AL3" s="127" t="s">
        <v>235</v>
      </c>
      <c r="AM3" s="128"/>
      <c r="AN3" s="127" t="s">
        <v>293</v>
      </c>
      <c r="AO3" s="128"/>
      <c r="AP3" s="127" t="s">
        <v>236</v>
      </c>
      <c r="AQ3" s="128"/>
      <c r="AR3" s="127" t="s">
        <v>239</v>
      </c>
      <c r="AS3" s="128"/>
      <c r="AT3" s="127" t="s">
        <v>13</v>
      </c>
      <c r="AU3" s="128"/>
      <c r="AV3" s="127" t="s">
        <v>14</v>
      </c>
      <c r="AW3" s="128"/>
      <c r="AX3" s="127" t="s">
        <v>15</v>
      </c>
      <c r="AY3" s="128"/>
      <c r="AZ3" s="127" t="s">
        <v>16</v>
      </c>
      <c r="BA3" s="128"/>
      <c r="BB3" s="127" t="s">
        <v>17</v>
      </c>
      <c r="BC3" s="128"/>
      <c r="BD3" s="127" t="s">
        <v>237</v>
      </c>
      <c r="BE3" s="128"/>
      <c r="BF3" s="127" t="s">
        <v>238</v>
      </c>
      <c r="BG3" s="128"/>
      <c r="BH3" s="127" t="s">
        <v>18</v>
      </c>
      <c r="BI3" s="128"/>
      <c r="BJ3" s="127" t="s">
        <v>19</v>
      </c>
      <c r="BK3" s="128"/>
      <c r="BL3" s="129" t="s">
        <v>20</v>
      </c>
      <c r="BM3" s="130"/>
    </row>
    <row r="4" spans="1:65" s="34" customFormat="1" ht="30" x14ac:dyDescent="0.25">
      <c r="A4" s="31"/>
      <c r="B4" s="32" t="s">
        <v>299</v>
      </c>
      <c r="C4" s="33" t="s">
        <v>298</v>
      </c>
      <c r="D4" s="32" t="s">
        <v>299</v>
      </c>
      <c r="E4" s="33" t="s">
        <v>298</v>
      </c>
      <c r="F4" s="32" t="s">
        <v>299</v>
      </c>
      <c r="G4" s="33" t="s">
        <v>298</v>
      </c>
      <c r="H4" s="32" t="s">
        <v>299</v>
      </c>
      <c r="I4" s="33" t="s">
        <v>298</v>
      </c>
      <c r="J4" s="32" t="s">
        <v>299</v>
      </c>
      <c r="K4" s="33" t="s">
        <v>298</v>
      </c>
      <c r="L4" s="32" t="s">
        <v>299</v>
      </c>
      <c r="M4" s="33" t="s">
        <v>298</v>
      </c>
      <c r="N4" s="32" t="s">
        <v>299</v>
      </c>
      <c r="O4" s="33" t="s">
        <v>298</v>
      </c>
      <c r="P4" s="32" t="s">
        <v>299</v>
      </c>
      <c r="Q4" s="33" t="s">
        <v>298</v>
      </c>
      <c r="R4" s="32" t="s">
        <v>299</v>
      </c>
      <c r="S4" s="33" t="s">
        <v>298</v>
      </c>
      <c r="T4" s="32" t="s">
        <v>299</v>
      </c>
      <c r="U4" s="33" t="s">
        <v>298</v>
      </c>
      <c r="V4" s="32" t="s">
        <v>299</v>
      </c>
      <c r="W4" s="33" t="s">
        <v>298</v>
      </c>
      <c r="X4" s="32" t="s">
        <v>299</v>
      </c>
      <c r="Y4" s="33" t="s">
        <v>298</v>
      </c>
      <c r="Z4" s="32" t="s">
        <v>299</v>
      </c>
      <c r="AA4" s="33" t="s">
        <v>298</v>
      </c>
      <c r="AB4" s="32" t="s">
        <v>299</v>
      </c>
      <c r="AC4" s="33" t="s">
        <v>298</v>
      </c>
      <c r="AD4" s="32" t="s">
        <v>299</v>
      </c>
      <c r="AE4" s="33" t="s">
        <v>298</v>
      </c>
      <c r="AF4" s="32" t="s">
        <v>299</v>
      </c>
      <c r="AG4" s="33" t="s">
        <v>298</v>
      </c>
      <c r="AH4" s="32" t="s">
        <v>299</v>
      </c>
      <c r="AI4" s="33" t="s">
        <v>298</v>
      </c>
      <c r="AJ4" s="32" t="s">
        <v>299</v>
      </c>
      <c r="AK4" s="33" t="s">
        <v>298</v>
      </c>
      <c r="AL4" s="32" t="s">
        <v>299</v>
      </c>
      <c r="AM4" s="33" t="s">
        <v>298</v>
      </c>
      <c r="AN4" s="32" t="s">
        <v>299</v>
      </c>
      <c r="AO4" s="33" t="s">
        <v>298</v>
      </c>
      <c r="AP4" s="32" t="s">
        <v>299</v>
      </c>
      <c r="AQ4" s="33" t="s">
        <v>298</v>
      </c>
      <c r="AR4" s="32" t="s">
        <v>299</v>
      </c>
      <c r="AS4" s="33" t="s">
        <v>298</v>
      </c>
      <c r="AT4" s="32" t="s">
        <v>299</v>
      </c>
      <c r="AU4" s="33" t="s">
        <v>298</v>
      </c>
      <c r="AV4" s="32" t="s">
        <v>299</v>
      </c>
      <c r="AW4" s="33" t="s">
        <v>298</v>
      </c>
      <c r="AX4" s="32" t="s">
        <v>299</v>
      </c>
      <c r="AY4" s="33" t="s">
        <v>298</v>
      </c>
      <c r="AZ4" s="32" t="s">
        <v>299</v>
      </c>
      <c r="BA4" s="33" t="s">
        <v>298</v>
      </c>
      <c r="BB4" s="32" t="s">
        <v>299</v>
      </c>
      <c r="BC4" s="33" t="s">
        <v>298</v>
      </c>
      <c r="BD4" s="32" t="s">
        <v>299</v>
      </c>
      <c r="BE4" s="33" t="s">
        <v>298</v>
      </c>
      <c r="BF4" s="32" t="s">
        <v>299</v>
      </c>
      <c r="BG4" s="33" t="s">
        <v>298</v>
      </c>
      <c r="BH4" s="32" t="s">
        <v>299</v>
      </c>
      <c r="BI4" s="33" t="s">
        <v>298</v>
      </c>
      <c r="BJ4" s="32" t="s">
        <v>299</v>
      </c>
      <c r="BK4" s="33" t="s">
        <v>298</v>
      </c>
      <c r="BL4" s="32" t="s">
        <v>299</v>
      </c>
      <c r="BM4" s="33" t="s">
        <v>298</v>
      </c>
    </row>
    <row r="5" spans="1:65" x14ac:dyDescent="0.25">
      <c r="A5" s="2" t="s">
        <v>21</v>
      </c>
      <c r="B5" s="9">
        <v>22231</v>
      </c>
      <c r="C5" s="9">
        <v>58596</v>
      </c>
      <c r="D5" s="9">
        <v>41003</v>
      </c>
      <c r="E5" s="9">
        <v>124952</v>
      </c>
      <c r="F5" s="9">
        <v>121677</v>
      </c>
      <c r="G5" s="9">
        <v>535736</v>
      </c>
      <c r="H5" s="9">
        <v>208637</v>
      </c>
      <c r="I5" s="9">
        <v>602884</v>
      </c>
      <c r="J5" s="9">
        <v>96961</v>
      </c>
      <c r="K5" s="9">
        <v>273044</v>
      </c>
      <c r="L5" s="9">
        <v>103550</v>
      </c>
      <c r="M5" s="9">
        <v>293685</v>
      </c>
      <c r="N5" s="9">
        <v>136092</v>
      </c>
      <c r="O5" s="9">
        <v>376732</v>
      </c>
      <c r="P5" s="9">
        <v>23523.119999999999</v>
      </c>
      <c r="Q5" s="9">
        <v>63323.839999999997</v>
      </c>
      <c r="R5" s="9">
        <v>7975.93</v>
      </c>
      <c r="S5" s="9">
        <v>22150.21</v>
      </c>
      <c r="T5" s="9">
        <v>74973.17</v>
      </c>
      <c r="U5" s="9">
        <v>203687.97</v>
      </c>
      <c r="V5" s="9">
        <v>210748</v>
      </c>
      <c r="W5" s="9">
        <v>590383</v>
      </c>
      <c r="X5" s="9">
        <v>379206</v>
      </c>
      <c r="Y5" s="9">
        <v>1109683</v>
      </c>
      <c r="Z5" s="9">
        <v>162900</v>
      </c>
      <c r="AA5" s="9">
        <v>465751</v>
      </c>
      <c r="AB5" s="9">
        <v>17978</v>
      </c>
      <c r="AC5" s="9">
        <v>49719</v>
      </c>
      <c r="AD5" s="9">
        <v>40483</v>
      </c>
      <c r="AE5" s="9">
        <v>111886</v>
      </c>
      <c r="AF5" s="9">
        <v>41708</v>
      </c>
      <c r="AG5" s="9">
        <v>107697</v>
      </c>
      <c r="AH5" s="9">
        <v>28145.360000000001</v>
      </c>
      <c r="AI5" s="9">
        <v>77580.679999999993</v>
      </c>
      <c r="AJ5" s="9">
        <v>296987.94</v>
      </c>
      <c r="AK5" s="9">
        <v>944633.16</v>
      </c>
      <c r="AL5" s="9">
        <v>2423</v>
      </c>
      <c r="AM5" s="9">
        <v>7858</v>
      </c>
      <c r="AN5" s="9">
        <v>64824</v>
      </c>
      <c r="AO5" s="9">
        <v>180368</v>
      </c>
      <c r="AP5" s="9">
        <v>9770</v>
      </c>
      <c r="AQ5" s="9">
        <v>27100</v>
      </c>
      <c r="AR5" s="9">
        <v>159894</v>
      </c>
      <c r="AS5" s="9">
        <v>452380</v>
      </c>
      <c r="AT5" s="9">
        <v>62947</v>
      </c>
      <c r="AU5" s="9">
        <v>178495</v>
      </c>
      <c r="AV5" s="9">
        <v>126414</v>
      </c>
      <c r="AW5" s="9">
        <v>346789</v>
      </c>
      <c r="AX5" s="9">
        <v>46327</v>
      </c>
      <c r="AY5" s="9">
        <v>130181</v>
      </c>
      <c r="AZ5" s="9">
        <v>286724</v>
      </c>
      <c r="BA5" s="9">
        <v>834908</v>
      </c>
      <c r="BB5" s="9">
        <v>208798</v>
      </c>
      <c r="BC5" s="9">
        <v>616157</v>
      </c>
      <c r="BD5" s="9">
        <v>786108</v>
      </c>
      <c r="BE5" s="9">
        <v>2235117</v>
      </c>
      <c r="BF5" s="9">
        <v>299258</v>
      </c>
      <c r="BG5" s="9">
        <v>973524</v>
      </c>
      <c r="BH5" s="9">
        <v>474941</v>
      </c>
      <c r="BI5" s="9">
        <v>1161632</v>
      </c>
      <c r="BJ5" s="9">
        <v>65562</v>
      </c>
      <c r="BK5" s="9">
        <v>162581</v>
      </c>
      <c r="BL5" s="46">
        <f>B5+D5+F5+H5+J5+L5+N5+P5+R5+T5+V5+X5+Z5+AB5+AD5+AF5+AH5+AJ5+AL5+AN5+AP5+AR5+AT5+AV5+AX5+AZ5+BB5+BD5+BF5+BH5+BJ5</f>
        <v>4608769.5200000005</v>
      </c>
      <c r="BM5" s="46">
        <f>C5+E5+G5+I5+K5+M5+O5+Q5+S5+U5+W5+Y5+AA5+AC5+AE5+AG5+AI5+AK5+AM5+AO5+AQ5+AS5+AU5+AW5+AY5+BA5+BC5+BE5+BG5+BI5+BK5</f>
        <v>13319213.859999999</v>
      </c>
    </row>
    <row r="6" spans="1:65" ht="30" x14ac:dyDescent="0.25">
      <c r="A6" s="2" t="s">
        <v>22</v>
      </c>
      <c r="B6" s="9">
        <v>56</v>
      </c>
      <c r="C6" s="9">
        <v>152</v>
      </c>
      <c r="D6" s="9">
        <v>-107</v>
      </c>
      <c r="E6" s="9">
        <v>239</v>
      </c>
      <c r="F6" s="9">
        <v>-1992</v>
      </c>
      <c r="G6" s="9">
        <v>-142</v>
      </c>
      <c r="H6" s="9">
        <v>3368</v>
      </c>
      <c r="I6" s="9">
        <v>31077</v>
      </c>
      <c r="J6" s="9">
        <v>188</v>
      </c>
      <c r="K6" s="9">
        <v>372</v>
      </c>
      <c r="L6" s="9">
        <v>367</v>
      </c>
      <c r="M6" s="9">
        <v>1636</v>
      </c>
      <c r="N6" s="9">
        <v>22</v>
      </c>
      <c r="O6" s="9">
        <v>400</v>
      </c>
      <c r="P6" s="9">
        <v>2020.29</v>
      </c>
      <c r="Q6" s="9">
        <v>3718.73</v>
      </c>
      <c r="R6" s="9">
        <v>-104.13</v>
      </c>
      <c r="S6" s="9">
        <v>-35.909999999999997</v>
      </c>
      <c r="T6" s="9">
        <v>327.97</v>
      </c>
      <c r="U6" s="9">
        <v>782.67</v>
      </c>
      <c r="V6" s="9">
        <v>1810</v>
      </c>
      <c r="W6" s="9">
        <v>7308</v>
      </c>
      <c r="X6" s="9">
        <v>10560</v>
      </c>
      <c r="Y6" s="9">
        <v>28278</v>
      </c>
      <c r="Z6" s="9">
        <v>110</v>
      </c>
      <c r="AA6" s="9">
        <v>157</v>
      </c>
      <c r="AB6" s="9">
        <v>-91</v>
      </c>
      <c r="AC6" s="9">
        <v>11</v>
      </c>
      <c r="AD6" s="9">
        <v>89</v>
      </c>
      <c r="AE6" s="9">
        <v>322</v>
      </c>
      <c r="AF6" s="9">
        <v>43</v>
      </c>
      <c r="AG6" s="9">
        <v>336</v>
      </c>
      <c r="AH6" s="9"/>
      <c r="AI6" s="9"/>
      <c r="AJ6" s="9">
        <v>22709.77</v>
      </c>
      <c r="AK6" s="9">
        <v>55768.53</v>
      </c>
      <c r="AL6" s="9">
        <v>69</v>
      </c>
      <c r="AM6" s="9">
        <v>-142</v>
      </c>
      <c r="AN6" s="9">
        <v>73</v>
      </c>
      <c r="AO6" s="9">
        <v>221</v>
      </c>
      <c r="AP6" s="9">
        <v>50</v>
      </c>
      <c r="AQ6" s="9">
        <v>90</v>
      </c>
      <c r="AR6" s="9">
        <v>2619</v>
      </c>
      <c r="AS6" s="9">
        <v>6450</v>
      </c>
      <c r="AT6" s="9">
        <v>1450</v>
      </c>
      <c r="AU6" s="9">
        <v>5793</v>
      </c>
      <c r="AV6" s="9">
        <v>81</v>
      </c>
      <c r="AW6" s="9">
        <v>148</v>
      </c>
      <c r="AX6" s="9">
        <v>-1704</v>
      </c>
      <c r="AY6" s="9">
        <v>-1225</v>
      </c>
      <c r="AZ6" s="9">
        <v>105</v>
      </c>
      <c r="BA6" s="9">
        <v>481</v>
      </c>
      <c r="BB6" s="9">
        <v>1544</v>
      </c>
      <c r="BC6" s="9">
        <v>23672</v>
      </c>
      <c r="BD6" s="9">
        <v>118314</v>
      </c>
      <c r="BE6" s="9">
        <v>362644</v>
      </c>
      <c r="BF6" s="9">
        <v>36917</v>
      </c>
      <c r="BG6" s="9">
        <v>67240</v>
      </c>
      <c r="BH6" s="9">
        <v>39906</v>
      </c>
      <c r="BI6" s="9">
        <v>85728</v>
      </c>
      <c r="BJ6" s="9">
        <v>173</v>
      </c>
      <c r="BK6" s="9">
        <v>444</v>
      </c>
      <c r="BL6" s="46">
        <f t="shared" ref="BL6:BL15" si="0">B6+D6+F6+H6+J6+L6+N6+P6+R6+T6+V6+X6+Z6+AB6+AD6+AF6+AH6+AJ6+AL6+AN6+AP6+AR6+AT6+AV6+AX6+AZ6+BB6+BD6+BF6+BH6+BJ6</f>
        <v>238973.9</v>
      </c>
      <c r="BM6" s="46">
        <f t="shared" ref="BM6:BM15" si="1">C6+E6+G6+I6+K6+M6+O6+Q6+S6+U6+W6+Y6+AA6+AC6+AE6+AG6+AI6+AK6+AM6+AO6+AQ6+AS6+AU6+AW6+AY6+BA6+BC6+BE6+BG6+BI6+BK6</f>
        <v>681924.02</v>
      </c>
    </row>
    <row r="7" spans="1:65" x14ac:dyDescent="0.25">
      <c r="A7" s="2" t="s">
        <v>24</v>
      </c>
      <c r="B7" s="9">
        <v>1732</v>
      </c>
      <c r="C7" s="9">
        <v>4094</v>
      </c>
      <c r="D7" s="6">
        <v>2900</v>
      </c>
      <c r="E7" s="9">
        <v>7371</v>
      </c>
      <c r="F7" s="9">
        <v>17525</v>
      </c>
      <c r="G7" s="9">
        <v>51557</v>
      </c>
      <c r="H7" s="9">
        <v>26274</v>
      </c>
      <c r="I7" s="9">
        <v>78436</v>
      </c>
      <c r="J7" s="9">
        <v>4641</v>
      </c>
      <c r="K7" s="9">
        <v>12422</v>
      </c>
      <c r="L7" s="9">
        <v>18958</v>
      </c>
      <c r="M7" s="9">
        <v>54446</v>
      </c>
      <c r="N7" s="9">
        <v>16795</v>
      </c>
      <c r="O7" s="9">
        <v>44331</v>
      </c>
      <c r="P7" s="9">
        <v>12640.62</v>
      </c>
      <c r="Q7" s="9">
        <v>37818.080000000002</v>
      </c>
      <c r="R7" s="9">
        <v>815.38</v>
      </c>
      <c r="S7" s="9">
        <v>1972.21</v>
      </c>
      <c r="T7" s="9">
        <v>8244.23</v>
      </c>
      <c r="U7" s="9">
        <v>24654.29</v>
      </c>
      <c r="V7" s="9">
        <v>26631</v>
      </c>
      <c r="W7" s="9">
        <v>75701</v>
      </c>
      <c r="X7" s="9">
        <v>47452</v>
      </c>
      <c r="Y7" s="9">
        <v>142264</v>
      </c>
      <c r="Z7" s="9">
        <v>18993</v>
      </c>
      <c r="AA7" s="9">
        <v>52564</v>
      </c>
      <c r="AB7" s="9">
        <v>1971</v>
      </c>
      <c r="AC7" s="9">
        <v>5305</v>
      </c>
      <c r="AD7" s="9">
        <v>4677</v>
      </c>
      <c r="AE7" s="9">
        <v>13604</v>
      </c>
      <c r="AF7" s="9">
        <v>6923</v>
      </c>
      <c r="AG7" s="9">
        <v>18107</v>
      </c>
      <c r="AH7" s="9">
        <v>1308.31</v>
      </c>
      <c r="AI7" s="9">
        <v>3421.33</v>
      </c>
      <c r="AJ7" s="9">
        <v>44885.440000000002</v>
      </c>
      <c r="AK7" s="9">
        <v>139579.74</v>
      </c>
      <c r="AL7" s="9">
        <v>693</v>
      </c>
      <c r="AM7" s="9">
        <v>2024</v>
      </c>
      <c r="AN7" s="9">
        <v>3582</v>
      </c>
      <c r="AO7" s="9">
        <v>8972</v>
      </c>
      <c r="AP7" s="9">
        <v>978</v>
      </c>
      <c r="AQ7" s="9">
        <v>2983</v>
      </c>
      <c r="AR7" s="9">
        <v>21910</v>
      </c>
      <c r="AS7" s="9">
        <v>63231</v>
      </c>
      <c r="AT7" s="9">
        <v>9530</v>
      </c>
      <c r="AU7" s="9">
        <v>27760</v>
      </c>
      <c r="AV7" s="9">
        <v>15914</v>
      </c>
      <c r="AW7" s="9">
        <v>45377</v>
      </c>
      <c r="AX7" s="9">
        <v>16223</v>
      </c>
      <c r="AY7" s="9">
        <v>46326</v>
      </c>
      <c r="AZ7" s="9">
        <v>11464</v>
      </c>
      <c r="BA7" s="9">
        <v>35611</v>
      </c>
      <c r="BB7" s="9">
        <v>29511</v>
      </c>
      <c r="BC7" s="9">
        <v>85177</v>
      </c>
      <c r="BD7" s="9">
        <v>70135</v>
      </c>
      <c r="BE7" s="9">
        <v>224290</v>
      </c>
      <c r="BF7" s="9">
        <v>51295</v>
      </c>
      <c r="BG7" s="9">
        <v>160445</v>
      </c>
      <c r="BH7" s="9">
        <v>50205</v>
      </c>
      <c r="BI7" s="9">
        <v>156088</v>
      </c>
      <c r="BJ7" s="9">
        <v>5036</v>
      </c>
      <c r="BK7" s="9">
        <v>13876</v>
      </c>
      <c r="BL7" s="46">
        <f t="shared" si="0"/>
        <v>549841.98</v>
      </c>
      <c r="BM7" s="46">
        <f t="shared" si="1"/>
        <v>1639807.65</v>
      </c>
    </row>
    <row r="8" spans="1:65" x14ac:dyDescent="0.25">
      <c r="A8" s="2" t="s">
        <v>23</v>
      </c>
      <c r="B8" s="9">
        <f t="shared" ref="B8:AG8" si="2">B9-B7-B6-B5</f>
        <v>0</v>
      </c>
      <c r="C8" s="9">
        <f t="shared" si="2"/>
        <v>0</v>
      </c>
      <c r="D8" s="9">
        <f t="shared" si="2"/>
        <v>0</v>
      </c>
      <c r="E8" s="9">
        <f t="shared" si="2"/>
        <v>1</v>
      </c>
      <c r="F8" s="9">
        <f t="shared" si="2"/>
        <v>-63</v>
      </c>
      <c r="G8" s="9">
        <f t="shared" si="2"/>
        <v>-386</v>
      </c>
      <c r="H8" s="9">
        <f t="shared" si="2"/>
        <v>712</v>
      </c>
      <c r="I8" s="9">
        <f t="shared" si="2"/>
        <v>2159</v>
      </c>
      <c r="J8" s="9">
        <f t="shared" si="2"/>
        <v>0</v>
      </c>
      <c r="K8" s="9">
        <f t="shared" si="2"/>
        <v>0</v>
      </c>
      <c r="L8" s="9">
        <f t="shared" si="2"/>
        <v>11897</v>
      </c>
      <c r="M8" s="9">
        <f t="shared" si="2"/>
        <v>29692</v>
      </c>
      <c r="N8" s="9">
        <f t="shared" si="2"/>
        <v>0</v>
      </c>
      <c r="O8" s="9">
        <f t="shared" si="2"/>
        <v>0</v>
      </c>
      <c r="P8" s="9">
        <f t="shared" si="2"/>
        <v>41.059999999994034</v>
      </c>
      <c r="Q8" s="9">
        <f t="shared" si="2"/>
        <v>130.15000000000146</v>
      </c>
      <c r="R8" s="9">
        <f t="shared" si="2"/>
        <v>22.399999999999636</v>
      </c>
      <c r="S8" s="9">
        <f t="shared" si="2"/>
        <v>50.400000000001455</v>
      </c>
      <c r="T8" s="9">
        <f t="shared" si="2"/>
        <v>9.9000000000087311</v>
      </c>
      <c r="U8" s="9">
        <f t="shared" si="2"/>
        <v>34.11999999996624</v>
      </c>
      <c r="V8" s="9">
        <f t="shared" si="2"/>
        <v>139</v>
      </c>
      <c r="W8" s="9">
        <f t="shared" si="2"/>
        <v>553</v>
      </c>
      <c r="X8" s="9">
        <f t="shared" si="2"/>
        <v>-1017</v>
      </c>
      <c r="Y8" s="9">
        <f t="shared" si="2"/>
        <v>3707</v>
      </c>
      <c r="Z8" s="9">
        <f t="shared" si="2"/>
        <v>-48</v>
      </c>
      <c r="AA8" s="9">
        <f t="shared" si="2"/>
        <v>-191</v>
      </c>
      <c r="AB8" s="9">
        <f t="shared" si="2"/>
        <v>26</v>
      </c>
      <c r="AC8" s="9">
        <f t="shared" si="2"/>
        <v>42</v>
      </c>
      <c r="AD8" s="9">
        <f t="shared" si="2"/>
        <v>0</v>
      </c>
      <c r="AE8" s="9">
        <f t="shared" si="2"/>
        <v>0</v>
      </c>
      <c r="AF8" s="9">
        <f t="shared" si="2"/>
        <v>9822</v>
      </c>
      <c r="AG8" s="9">
        <f t="shared" si="2"/>
        <v>20731</v>
      </c>
      <c r="AH8" s="9">
        <f t="shared" ref="AH8:BK8" si="3">AH9-AH7-AH6-AH5</f>
        <v>41.329999999998108</v>
      </c>
      <c r="AI8" s="9">
        <f t="shared" si="3"/>
        <v>97.770000000004075</v>
      </c>
      <c r="AJ8" s="9">
        <f t="shared" si="3"/>
        <v>0</v>
      </c>
      <c r="AK8" s="9">
        <f t="shared" si="3"/>
        <v>0</v>
      </c>
      <c r="AL8" s="9">
        <f t="shared" si="3"/>
        <v>0</v>
      </c>
      <c r="AM8" s="9">
        <f t="shared" si="3"/>
        <v>0</v>
      </c>
      <c r="AN8" s="9">
        <f t="shared" si="3"/>
        <v>12302</v>
      </c>
      <c r="AO8" s="9">
        <f t="shared" si="3"/>
        <v>25118</v>
      </c>
      <c r="AP8" s="9">
        <f t="shared" si="3"/>
        <v>3044</v>
      </c>
      <c r="AQ8" s="9">
        <f t="shared" si="3"/>
        <v>6182</v>
      </c>
      <c r="AR8" s="9">
        <f t="shared" si="3"/>
        <v>18997</v>
      </c>
      <c r="AS8" s="9">
        <f t="shared" si="3"/>
        <v>33392</v>
      </c>
      <c r="AT8" s="9">
        <f t="shared" si="3"/>
        <v>242</v>
      </c>
      <c r="AU8" s="9">
        <f t="shared" si="3"/>
        <v>608</v>
      </c>
      <c r="AV8" s="9">
        <f t="shared" si="3"/>
        <v>27</v>
      </c>
      <c r="AW8" s="9">
        <f t="shared" si="3"/>
        <v>104</v>
      </c>
      <c r="AX8" s="9">
        <f t="shared" si="3"/>
        <v>101</v>
      </c>
      <c r="AY8" s="9">
        <f t="shared" si="3"/>
        <v>198</v>
      </c>
      <c r="AZ8" s="9">
        <f t="shared" si="3"/>
        <v>-1</v>
      </c>
      <c r="BA8" s="9">
        <f t="shared" si="3"/>
        <v>0</v>
      </c>
      <c r="BB8" s="9">
        <f t="shared" si="3"/>
        <v>365</v>
      </c>
      <c r="BC8" s="9">
        <f t="shared" si="3"/>
        <v>971</v>
      </c>
      <c r="BD8" s="9">
        <f t="shared" si="3"/>
        <v>0</v>
      </c>
      <c r="BE8" s="9">
        <f t="shared" si="3"/>
        <v>0</v>
      </c>
      <c r="BF8" s="9">
        <f t="shared" si="3"/>
        <v>-1894</v>
      </c>
      <c r="BG8" s="9">
        <f t="shared" si="3"/>
        <v>-4789</v>
      </c>
      <c r="BH8" s="9">
        <f t="shared" si="3"/>
        <v>31</v>
      </c>
      <c r="BI8" s="9">
        <f t="shared" si="3"/>
        <v>95</v>
      </c>
      <c r="BJ8" s="9">
        <f t="shared" si="3"/>
        <v>1</v>
      </c>
      <c r="BK8" s="9">
        <f t="shared" si="3"/>
        <v>-1</v>
      </c>
      <c r="BL8" s="46">
        <f>B8+D8+F8+H8+J8+L8+N8+P8+R8+T8+V8+X8+Z8+AB8+AD8+AF8+AH8+AJ8+AL8+AN8+AP8+AR8+AT8+AV8+AX8+AZ8+BB8+BD8+BF8+BH8+BJ8</f>
        <v>54797.69</v>
      </c>
      <c r="BM8" s="46">
        <f>C8+E8+G8+I8+K8+M8+O8+Q8+S8+U8+W8+Y8+AA8+AC8+AE8+AG8+AI8+AK8+AM8+AO8+AQ8+AS8+AU8+AW8+AY8+BA8+BC8+BE8+BG8+BI8+BK8</f>
        <v>118498.43999999997</v>
      </c>
    </row>
    <row r="9" spans="1:65" s="7" customFormat="1" x14ac:dyDescent="0.25">
      <c r="A9" s="3" t="s">
        <v>25</v>
      </c>
      <c r="B9" s="10">
        <v>24019</v>
      </c>
      <c r="C9" s="10">
        <v>62842</v>
      </c>
      <c r="D9" s="10">
        <v>43796</v>
      </c>
      <c r="E9" s="10">
        <v>132563</v>
      </c>
      <c r="F9" s="10">
        <v>137147</v>
      </c>
      <c r="G9" s="10">
        <v>586765</v>
      </c>
      <c r="H9" s="10">
        <v>238991</v>
      </c>
      <c r="I9" s="10">
        <v>714556</v>
      </c>
      <c r="J9" s="10">
        <v>101790</v>
      </c>
      <c r="K9" s="10">
        <v>285838</v>
      </c>
      <c r="L9" s="10">
        <v>134772</v>
      </c>
      <c r="M9" s="10">
        <v>379459</v>
      </c>
      <c r="N9" s="10">
        <v>152909</v>
      </c>
      <c r="O9" s="10">
        <v>421463</v>
      </c>
      <c r="P9" s="10">
        <v>38225.089999999997</v>
      </c>
      <c r="Q9" s="10">
        <v>104990.8</v>
      </c>
      <c r="R9" s="10">
        <v>8709.58</v>
      </c>
      <c r="S9" s="10">
        <v>24136.91</v>
      </c>
      <c r="T9" s="10">
        <v>83555.27</v>
      </c>
      <c r="U9" s="10">
        <v>229159.05</v>
      </c>
      <c r="V9" s="10">
        <v>239328</v>
      </c>
      <c r="W9" s="10">
        <v>673945</v>
      </c>
      <c r="X9" s="10">
        <v>436201</v>
      </c>
      <c r="Y9" s="10">
        <v>1283932</v>
      </c>
      <c r="Z9" s="10">
        <v>181955</v>
      </c>
      <c r="AA9" s="10">
        <v>518281</v>
      </c>
      <c r="AB9" s="10">
        <v>19884</v>
      </c>
      <c r="AC9" s="10">
        <v>55077</v>
      </c>
      <c r="AD9" s="10">
        <v>45249</v>
      </c>
      <c r="AE9" s="10">
        <v>125812</v>
      </c>
      <c r="AF9" s="10">
        <v>58496</v>
      </c>
      <c r="AG9" s="10">
        <v>146871</v>
      </c>
      <c r="AH9" s="10">
        <v>29495</v>
      </c>
      <c r="AI9" s="10">
        <v>81099.78</v>
      </c>
      <c r="AJ9" s="10">
        <v>364583.15</v>
      </c>
      <c r="AK9" s="10">
        <v>1139981.43</v>
      </c>
      <c r="AL9" s="10">
        <v>3185</v>
      </c>
      <c r="AM9" s="10">
        <v>9740</v>
      </c>
      <c r="AN9" s="10">
        <v>80781</v>
      </c>
      <c r="AO9" s="10">
        <v>214679</v>
      </c>
      <c r="AP9" s="10">
        <v>13842</v>
      </c>
      <c r="AQ9" s="10">
        <v>36355</v>
      </c>
      <c r="AR9" s="10">
        <v>203420</v>
      </c>
      <c r="AS9" s="10">
        <v>555453</v>
      </c>
      <c r="AT9" s="10">
        <v>74169</v>
      </c>
      <c r="AU9" s="10">
        <v>212656</v>
      </c>
      <c r="AV9" s="10">
        <v>142436</v>
      </c>
      <c r="AW9" s="10">
        <v>392418</v>
      </c>
      <c r="AX9" s="10">
        <v>60947</v>
      </c>
      <c r="AY9" s="10">
        <v>175480</v>
      </c>
      <c r="AZ9" s="10">
        <v>298292</v>
      </c>
      <c r="BA9" s="10">
        <v>871000</v>
      </c>
      <c r="BB9" s="10">
        <v>240218</v>
      </c>
      <c r="BC9" s="10">
        <v>725977</v>
      </c>
      <c r="BD9" s="10">
        <v>974557</v>
      </c>
      <c r="BE9" s="10">
        <v>2822051</v>
      </c>
      <c r="BF9" s="10">
        <v>385576</v>
      </c>
      <c r="BG9" s="10">
        <v>1196420</v>
      </c>
      <c r="BH9" s="10">
        <v>565083</v>
      </c>
      <c r="BI9" s="10">
        <v>1403543</v>
      </c>
      <c r="BJ9" s="10">
        <v>70772</v>
      </c>
      <c r="BK9" s="10">
        <v>176900</v>
      </c>
      <c r="BL9" s="42">
        <f t="shared" si="0"/>
        <v>5452383.0899999999</v>
      </c>
      <c r="BM9" s="42">
        <f t="shared" si="1"/>
        <v>15759443.969999999</v>
      </c>
    </row>
    <row r="10" spans="1:65" x14ac:dyDescent="0.25">
      <c r="A10" s="2" t="s">
        <v>26</v>
      </c>
      <c r="B10" s="9">
        <v>18691</v>
      </c>
      <c r="C10" s="9">
        <v>50444</v>
      </c>
      <c r="D10" s="9">
        <v>30024</v>
      </c>
      <c r="E10" s="9">
        <v>81261</v>
      </c>
      <c r="F10" s="9">
        <v>118431</v>
      </c>
      <c r="G10" s="9">
        <v>516399</v>
      </c>
      <c r="H10" s="9">
        <v>150489</v>
      </c>
      <c r="I10" s="9">
        <v>452565</v>
      </c>
      <c r="J10" s="9">
        <v>53342</v>
      </c>
      <c r="K10" s="9">
        <v>149575</v>
      </c>
      <c r="L10" s="9">
        <v>72206</v>
      </c>
      <c r="M10" s="9">
        <v>209661</v>
      </c>
      <c r="N10" s="9">
        <v>90231</v>
      </c>
      <c r="O10" s="9">
        <v>264306</v>
      </c>
      <c r="P10" s="9">
        <v>-56684.42</v>
      </c>
      <c r="Q10" s="9">
        <v>-87417.02</v>
      </c>
      <c r="R10" s="9">
        <v>6544.38</v>
      </c>
      <c r="S10" s="9">
        <v>19163.060000000001</v>
      </c>
      <c r="T10" s="9">
        <v>51184.28</v>
      </c>
      <c r="U10" s="9">
        <v>137750.53</v>
      </c>
      <c r="V10" s="9">
        <v>165927</v>
      </c>
      <c r="W10" s="9">
        <v>466416</v>
      </c>
      <c r="X10" s="9">
        <v>266627</v>
      </c>
      <c r="Y10" s="9">
        <v>795947</v>
      </c>
      <c r="Z10" s="9">
        <v>138716</v>
      </c>
      <c r="AA10" s="9">
        <v>405264</v>
      </c>
      <c r="AB10" s="9">
        <v>12306</v>
      </c>
      <c r="AC10" s="9">
        <v>34489</v>
      </c>
      <c r="AD10" s="9">
        <v>28782</v>
      </c>
      <c r="AE10" s="9">
        <v>79785</v>
      </c>
      <c r="AF10" s="9">
        <v>29002</v>
      </c>
      <c r="AG10" s="9">
        <v>75203</v>
      </c>
      <c r="AH10" s="9">
        <v>18705.04</v>
      </c>
      <c r="AI10" s="9">
        <v>51771.08</v>
      </c>
      <c r="AJ10" s="9">
        <v>306356.09000000003</v>
      </c>
      <c r="AK10" s="9">
        <v>897726.81</v>
      </c>
      <c r="AL10" s="9">
        <v>1444</v>
      </c>
      <c r="AM10" s="9">
        <v>5344</v>
      </c>
      <c r="AN10" s="9">
        <v>36798</v>
      </c>
      <c r="AO10" s="9">
        <v>102286</v>
      </c>
      <c r="AP10" s="9">
        <v>6971</v>
      </c>
      <c r="AQ10" s="9">
        <v>20895</v>
      </c>
      <c r="AR10" s="9">
        <v>124396</v>
      </c>
      <c r="AS10" s="9">
        <v>352726</v>
      </c>
      <c r="AT10" s="9">
        <v>48000</v>
      </c>
      <c r="AU10" s="9">
        <v>144428</v>
      </c>
      <c r="AV10" s="9">
        <v>100986</v>
      </c>
      <c r="AW10" s="9">
        <v>270906</v>
      </c>
      <c r="AX10" s="9">
        <v>33241</v>
      </c>
      <c r="AY10" s="9">
        <v>97665</v>
      </c>
      <c r="AZ10" s="9">
        <v>182782</v>
      </c>
      <c r="BA10" s="9">
        <v>551497</v>
      </c>
      <c r="BB10" s="9">
        <v>154672</v>
      </c>
      <c r="BC10" s="9">
        <v>460174</v>
      </c>
      <c r="BD10" s="9">
        <v>712036</v>
      </c>
      <c r="BE10" s="9">
        <v>2116659</v>
      </c>
      <c r="BF10" s="9">
        <v>324170</v>
      </c>
      <c r="BG10" s="9">
        <v>1083102</v>
      </c>
      <c r="BH10" s="9">
        <v>397005</v>
      </c>
      <c r="BI10" s="9">
        <v>1097863</v>
      </c>
      <c r="BJ10" s="9">
        <v>55635</v>
      </c>
      <c r="BK10" s="9">
        <v>124491</v>
      </c>
      <c r="BL10" s="46">
        <f t="shared" si="0"/>
        <v>3679015.37</v>
      </c>
      <c r="BM10" s="46">
        <f t="shared" si="1"/>
        <v>11028345.460000001</v>
      </c>
    </row>
    <row r="11" spans="1:65" x14ac:dyDescent="0.25">
      <c r="A11" s="2" t="s">
        <v>27</v>
      </c>
      <c r="B11" s="9">
        <v>-74</v>
      </c>
      <c r="C11" s="9">
        <v>257</v>
      </c>
      <c r="D11" s="9">
        <v>3969</v>
      </c>
      <c r="E11" s="9">
        <v>8035</v>
      </c>
      <c r="F11" s="9">
        <v>-222</v>
      </c>
      <c r="G11" s="9">
        <v>-4899</v>
      </c>
      <c r="H11" s="9">
        <v>-5764</v>
      </c>
      <c r="I11" s="9">
        <v>-30350</v>
      </c>
      <c r="J11" s="9">
        <v>13424</v>
      </c>
      <c r="K11" s="9">
        <v>33842</v>
      </c>
      <c r="L11" s="9">
        <v>3793</v>
      </c>
      <c r="M11" s="9">
        <v>10736</v>
      </c>
      <c r="N11" s="9">
        <v>727</v>
      </c>
      <c r="O11" s="9">
        <v>9500</v>
      </c>
      <c r="P11" s="9">
        <v>-121.61</v>
      </c>
      <c r="Q11" s="9">
        <v>-668.9</v>
      </c>
      <c r="R11" s="9">
        <v>66.64</v>
      </c>
      <c r="S11" s="9">
        <v>457.87</v>
      </c>
      <c r="T11" s="9">
        <v>808.24</v>
      </c>
      <c r="U11" s="9">
        <v>3303.81</v>
      </c>
      <c r="V11" s="9">
        <v>-1442</v>
      </c>
      <c r="W11" s="9">
        <v>-16624</v>
      </c>
      <c r="X11" s="9">
        <v>17441</v>
      </c>
      <c r="Y11" s="9">
        <v>38085</v>
      </c>
      <c r="Z11" s="9">
        <v>12611</v>
      </c>
      <c r="AA11" s="9">
        <v>35850</v>
      </c>
      <c r="AB11" s="9">
        <v>1072</v>
      </c>
      <c r="AC11" s="9">
        <v>1722</v>
      </c>
      <c r="AD11" s="9">
        <v>4882</v>
      </c>
      <c r="AE11" s="9">
        <v>12586</v>
      </c>
      <c r="AF11" s="9">
        <v>2503</v>
      </c>
      <c r="AG11" s="9">
        <v>6950</v>
      </c>
      <c r="AH11" s="9">
        <v>3526</v>
      </c>
      <c r="AI11" s="9">
        <v>9419.01</v>
      </c>
      <c r="AJ11" s="9">
        <v>22436.48</v>
      </c>
      <c r="AK11" s="9">
        <v>63683.48</v>
      </c>
      <c r="AL11" s="9">
        <v>-36</v>
      </c>
      <c r="AM11" s="9">
        <v>-109</v>
      </c>
      <c r="AN11" s="9">
        <v>3861</v>
      </c>
      <c r="AO11" s="9">
        <v>9327</v>
      </c>
      <c r="AP11" s="9">
        <v>963</v>
      </c>
      <c r="AQ11" s="9">
        <v>4095</v>
      </c>
      <c r="AR11" s="9">
        <v>-4134</v>
      </c>
      <c r="AS11" s="9">
        <v>-14619</v>
      </c>
      <c r="AT11" s="9">
        <v>5851</v>
      </c>
      <c r="AU11" s="9">
        <v>10275</v>
      </c>
      <c r="AV11" s="9">
        <v>5797</v>
      </c>
      <c r="AW11" s="9">
        <v>11154</v>
      </c>
      <c r="AX11" s="9">
        <v>3031</v>
      </c>
      <c r="AY11" s="9">
        <v>7963</v>
      </c>
      <c r="AZ11" s="9">
        <v>40264</v>
      </c>
      <c r="BA11" s="9">
        <v>112100</v>
      </c>
      <c r="BB11" s="9">
        <v>14108</v>
      </c>
      <c r="BC11" s="9">
        <v>35373</v>
      </c>
      <c r="BD11" s="9">
        <v>60981</v>
      </c>
      <c r="BE11" s="9">
        <v>174960</v>
      </c>
      <c r="BF11" s="9">
        <v>22855</v>
      </c>
      <c r="BG11" s="9">
        <v>68182</v>
      </c>
      <c r="BH11" s="9">
        <v>25591</v>
      </c>
      <c r="BI11" s="9">
        <v>76230</v>
      </c>
      <c r="BJ11" s="9">
        <v>-3368</v>
      </c>
      <c r="BK11" s="9">
        <v>-312</v>
      </c>
      <c r="BL11" s="46">
        <f t="shared" si="0"/>
        <v>255399.75</v>
      </c>
      <c r="BM11" s="46">
        <f t="shared" si="1"/>
        <v>676504.27</v>
      </c>
    </row>
    <row r="12" spans="1:65" ht="30" x14ac:dyDescent="0.25">
      <c r="A12" s="2" t="s">
        <v>28</v>
      </c>
      <c r="B12" s="9">
        <v>18113</v>
      </c>
      <c r="C12" s="9">
        <v>52137</v>
      </c>
      <c r="D12" s="9">
        <v>17927</v>
      </c>
      <c r="E12" s="9">
        <v>66835</v>
      </c>
      <c r="F12" s="9">
        <v>9762</v>
      </c>
      <c r="G12" s="9">
        <v>29786</v>
      </c>
      <c r="H12" s="9">
        <v>67955</v>
      </c>
      <c r="I12" s="9">
        <v>192560</v>
      </c>
      <c r="J12" s="9">
        <v>30304</v>
      </c>
      <c r="K12" s="9">
        <v>89977</v>
      </c>
      <c r="L12" s="9">
        <v>44055</v>
      </c>
      <c r="M12" s="9">
        <v>120812</v>
      </c>
      <c r="N12" s="9">
        <v>61294</v>
      </c>
      <c r="O12" s="9">
        <v>153358</v>
      </c>
      <c r="P12" s="9">
        <v>6352.46</v>
      </c>
      <c r="Q12" s="9">
        <v>21377.29</v>
      </c>
      <c r="R12" s="9">
        <v>4977.03</v>
      </c>
      <c r="S12" s="9">
        <v>14743.27</v>
      </c>
      <c r="T12" s="9">
        <v>29655.66</v>
      </c>
      <c r="U12" s="9">
        <v>79810.41</v>
      </c>
      <c r="V12" s="9">
        <v>63888</v>
      </c>
      <c r="W12" s="9">
        <v>180938</v>
      </c>
      <c r="X12" s="9">
        <v>124482</v>
      </c>
      <c r="Y12" s="9">
        <v>339551</v>
      </c>
      <c r="Z12" s="9">
        <v>32176</v>
      </c>
      <c r="AA12" s="9">
        <v>83405</v>
      </c>
      <c r="AB12" s="9">
        <v>9699</v>
      </c>
      <c r="AC12" s="9">
        <v>26441</v>
      </c>
      <c r="AD12" s="9">
        <v>15852</v>
      </c>
      <c r="AE12" s="9">
        <v>42902</v>
      </c>
      <c r="AF12" s="9">
        <v>26380</v>
      </c>
      <c r="AG12" s="9">
        <v>69587</v>
      </c>
      <c r="AH12" s="9">
        <v>15886.63</v>
      </c>
      <c r="AI12" s="9">
        <v>36899.54</v>
      </c>
      <c r="AJ12" s="9">
        <v>91959.18</v>
      </c>
      <c r="AK12" s="9">
        <v>389754.68</v>
      </c>
      <c r="AL12" s="9">
        <v>1171</v>
      </c>
      <c r="AM12" s="9">
        <v>3597</v>
      </c>
      <c r="AN12" s="9">
        <v>31457</v>
      </c>
      <c r="AO12" s="9">
        <v>82383</v>
      </c>
      <c r="AP12" s="9">
        <v>5281</v>
      </c>
      <c r="AQ12" s="9">
        <v>14338</v>
      </c>
      <c r="AR12" s="9">
        <v>62366</v>
      </c>
      <c r="AS12" s="9">
        <v>164315</v>
      </c>
      <c r="AT12" s="9">
        <v>20881</v>
      </c>
      <c r="AU12" s="9">
        <v>56874</v>
      </c>
      <c r="AV12" s="9">
        <v>37168</v>
      </c>
      <c r="AW12" s="9">
        <v>107401</v>
      </c>
      <c r="AX12" s="9">
        <v>16683</v>
      </c>
      <c r="AY12" s="9">
        <v>45503</v>
      </c>
      <c r="AZ12" s="9">
        <v>51102</v>
      </c>
      <c r="BA12" s="9">
        <v>144365</v>
      </c>
      <c r="BB12" s="9">
        <v>62748</v>
      </c>
      <c r="BC12" s="9">
        <v>187826</v>
      </c>
      <c r="BD12" s="9">
        <v>123185</v>
      </c>
      <c r="BE12" s="9">
        <v>313839</v>
      </c>
      <c r="BF12" s="9">
        <v>78461</v>
      </c>
      <c r="BG12" s="9">
        <v>402900</v>
      </c>
      <c r="BH12" s="9">
        <v>235642</v>
      </c>
      <c r="BI12" s="9">
        <v>398295</v>
      </c>
      <c r="BJ12" s="9">
        <v>13326</v>
      </c>
      <c r="BK12" s="9">
        <v>38478</v>
      </c>
      <c r="BL12" s="46">
        <f t="shared" si="0"/>
        <v>1410188.96</v>
      </c>
      <c r="BM12" s="46">
        <f t="shared" si="1"/>
        <v>3950988.1900000004</v>
      </c>
    </row>
    <row r="13" spans="1:65" x14ac:dyDescent="0.25">
      <c r="A13" s="2" t="s">
        <v>31</v>
      </c>
      <c r="B13" s="9">
        <f>B14-B12-B11-B10</f>
        <v>0</v>
      </c>
      <c r="C13" s="9">
        <f t="shared" ref="C13:I13" si="4">C14-C12-C11-C10</f>
        <v>0</v>
      </c>
      <c r="D13" s="9">
        <f t="shared" si="4"/>
        <v>0</v>
      </c>
      <c r="E13" s="9">
        <f t="shared" si="4"/>
        <v>0</v>
      </c>
      <c r="F13" s="9">
        <f t="shared" si="4"/>
        <v>-1701</v>
      </c>
      <c r="G13" s="9">
        <f t="shared" si="4"/>
        <v>-8000</v>
      </c>
      <c r="H13" s="9">
        <f t="shared" si="4"/>
        <v>83</v>
      </c>
      <c r="I13" s="9">
        <f t="shared" si="4"/>
        <v>213</v>
      </c>
      <c r="J13" s="9">
        <f t="shared" ref="J13:BJ13" si="5">J14-J12-J11-J10</f>
        <v>0</v>
      </c>
      <c r="K13" s="9">
        <f t="shared" si="5"/>
        <v>0</v>
      </c>
      <c r="L13" s="9">
        <f t="shared" si="5"/>
        <v>0</v>
      </c>
      <c r="M13" s="9">
        <f t="shared" si="5"/>
        <v>1</v>
      </c>
      <c r="N13" s="9">
        <f t="shared" si="5"/>
        <v>0</v>
      </c>
      <c r="O13" s="9">
        <f t="shared" ref="O13" si="6">O14-O12-O11-O10</f>
        <v>0</v>
      </c>
      <c r="P13" s="9">
        <f t="shared" si="5"/>
        <v>-8882</v>
      </c>
      <c r="Q13" s="9">
        <f t="shared" si="5"/>
        <v>-18191.000000000015</v>
      </c>
      <c r="R13" s="9">
        <f t="shared" si="5"/>
        <v>0</v>
      </c>
      <c r="S13" s="9">
        <f t="shared" si="5"/>
        <v>0</v>
      </c>
      <c r="T13" s="9">
        <f t="shared" si="5"/>
        <v>-1.0000000002037268E-2</v>
      </c>
      <c r="U13" s="9">
        <f t="shared" si="5"/>
        <v>0</v>
      </c>
      <c r="V13" s="9">
        <f t="shared" si="5"/>
        <v>1</v>
      </c>
      <c r="W13" s="9">
        <f t="shared" ref="W13" si="7">W14-W12-W11-W10</f>
        <v>0</v>
      </c>
      <c r="X13" s="9">
        <f t="shared" si="5"/>
        <v>0</v>
      </c>
      <c r="Y13" s="9">
        <f t="shared" ref="Y13" si="8">Y14-Y12-Y11-Y10</f>
        <v>0</v>
      </c>
      <c r="Z13" s="9">
        <f t="shared" si="5"/>
        <v>0</v>
      </c>
      <c r="AA13" s="9">
        <f t="shared" ref="AA13" si="9">AA14-AA12-AA11-AA10</f>
        <v>0</v>
      </c>
      <c r="AB13" s="9">
        <f t="shared" si="5"/>
        <v>7</v>
      </c>
      <c r="AC13" s="9">
        <f t="shared" ref="AC13" si="10">AC14-AC12-AC11-AC10</f>
        <v>18</v>
      </c>
      <c r="AD13" s="9">
        <f t="shared" si="5"/>
        <v>0</v>
      </c>
      <c r="AE13" s="9">
        <f t="shared" ref="AE13" si="11">AE14-AE12-AE11-AE10</f>
        <v>0</v>
      </c>
      <c r="AF13" s="9">
        <f t="shared" si="5"/>
        <v>7</v>
      </c>
      <c r="AG13" s="9">
        <f t="shared" si="5"/>
        <v>41</v>
      </c>
      <c r="AH13" s="9">
        <f t="shared" si="5"/>
        <v>0</v>
      </c>
      <c r="AI13" s="9">
        <f t="shared" si="5"/>
        <v>0</v>
      </c>
      <c r="AJ13" s="9">
        <f t="shared" si="5"/>
        <v>1292.8400000000256</v>
      </c>
      <c r="AK13" s="9">
        <f t="shared" ref="AK13" si="12">AK14-AK12-AK11-AK10</f>
        <v>3989.3200000000652</v>
      </c>
      <c r="AL13" s="9">
        <f t="shared" si="5"/>
        <v>8</v>
      </c>
      <c r="AM13" s="9">
        <f t="shared" ref="AM13" si="13">AM14-AM12-AM11-AM10</f>
        <v>7</v>
      </c>
      <c r="AN13" s="9">
        <f t="shared" si="5"/>
        <v>1</v>
      </c>
      <c r="AO13" s="9">
        <f t="shared" ref="AO13" si="14">AO14-AO12-AO11-AO10</f>
        <v>0</v>
      </c>
      <c r="AP13" s="9">
        <f t="shared" si="5"/>
        <v>-1</v>
      </c>
      <c r="AQ13" s="9">
        <f t="shared" ref="AQ13" si="15">AQ14-AQ12-AQ11-AQ10</f>
        <v>0</v>
      </c>
      <c r="AR13" s="9">
        <f t="shared" si="5"/>
        <v>0</v>
      </c>
      <c r="AS13" s="9">
        <f t="shared" ref="AS13" si="16">AS14-AS12-AS11-AS10</f>
        <v>0</v>
      </c>
      <c r="AT13" s="9">
        <f t="shared" si="5"/>
        <v>0</v>
      </c>
      <c r="AU13" s="9">
        <f t="shared" si="5"/>
        <v>0</v>
      </c>
      <c r="AV13" s="9">
        <f t="shared" si="5"/>
        <v>0</v>
      </c>
      <c r="AW13" s="9">
        <f t="shared" si="5"/>
        <v>1</v>
      </c>
      <c r="AX13" s="9">
        <f t="shared" si="5"/>
        <v>-1</v>
      </c>
      <c r="AY13" s="9">
        <f t="shared" ref="AY13" si="17">AY14-AY12-AY11-AY10</f>
        <v>0</v>
      </c>
      <c r="AZ13" s="9">
        <f t="shared" si="5"/>
        <v>0</v>
      </c>
      <c r="BA13" s="9">
        <f t="shared" si="5"/>
        <v>0</v>
      </c>
      <c r="BB13" s="9">
        <f t="shared" si="5"/>
        <v>1</v>
      </c>
      <c r="BC13" s="9">
        <f t="shared" ref="BC13" si="18">BC14-BC12-BC11-BC10</f>
        <v>0</v>
      </c>
      <c r="BD13" s="9">
        <f t="shared" si="5"/>
        <v>-1</v>
      </c>
      <c r="BE13" s="9">
        <f t="shared" si="5"/>
        <v>0</v>
      </c>
      <c r="BF13" s="9">
        <f t="shared" ref="BF13:BG13" si="19">BF14-BF12-BF11-BF10</f>
        <v>3483</v>
      </c>
      <c r="BG13" s="9">
        <f t="shared" si="19"/>
        <v>25286</v>
      </c>
      <c r="BH13" s="9">
        <f t="shared" si="5"/>
        <v>-1</v>
      </c>
      <c r="BI13" s="9">
        <f t="shared" ref="BI13" si="20">BI14-BI12-BI11-BI10</f>
        <v>0</v>
      </c>
      <c r="BJ13" s="9">
        <f t="shared" si="5"/>
        <v>22</v>
      </c>
      <c r="BK13" s="9">
        <f t="shared" ref="BK13" si="21">BK14-BK12-BK11-BK10</f>
        <v>67</v>
      </c>
      <c r="BL13" s="46">
        <f t="shared" si="0"/>
        <v>-5681.1699999999764</v>
      </c>
      <c r="BM13" s="46">
        <f t="shared" si="1"/>
        <v>3432.3200000000506</v>
      </c>
    </row>
    <row r="14" spans="1:65" s="7" customFormat="1" x14ac:dyDescent="0.25">
      <c r="A14" s="3" t="s">
        <v>29</v>
      </c>
      <c r="B14" s="10">
        <v>36730</v>
      </c>
      <c r="C14" s="10">
        <v>102838</v>
      </c>
      <c r="D14" s="10">
        <v>51920</v>
      </c>
      <c r="E14" s="10">
        <v>156131</v>
      </c>
      <c r="F14" s="10">
        <v>126270</v>
      </c>
      <c r="G14" s="10">
        <v>533286</v>
      </c>
      <c r="H14" s="10">
        <v>212763</v>
      </c>
      <c r="I14" s="10">
        <v>614988</v>
      </c>
      <c r="J14" s="10">
        <v>97070</v>
      </c>
      <c r="K14" s="10">
        <v>273394</v>
      </c>
      <c r="L14" s="10">
        <v>120054</v>
      </c>
      <c r="M14" s="10">
        <v>341210</v>
      </c>
      <c r="N14" s="10">
        <v>152252</v>
      </c>
      <c r="O14" s="10">
        <v>427164</v>
      </c>
      <c r="P14" s="10">
        <v>-59335.57</v>
      </c>
      <c r="Q14" s="10">
        <v>-84899.63</v>
      </c>
      <c r="R14" s="10">
        <v>11588.05</v>
      </c>
      <c r="S14" s="10">
        <v>34364.199999999997</v>
      </c>
      <c r="T14" s="10">
        <v>81648.17</v>
      </c>
      <c r="U14" s="10">
        <v>220864.75</v>
      </c>
      <c r="V14" s="10">
        <v>228374</v>
      </c>
      <c r="W14" s="10">
        <v>630730</v>
      </c>
      <c r="X14" s="10">
        <v>408550</v>
      </c>
      <c r="Y14" s="10">
        <v>1173583</v>
      </c>
      <c r="Z14" s="10">
        <v>183503</v>
      </c>
      <c r="AA14" s="10">
        <v>524519</v>
      </c>
      <c r="AB14" s="10">
        <v>23084</v>
      </c>
      <c r="AC14" s="10">
        <v>62670</v>
      </c>
      <c r="AD14" s="10">
        <v>49516</v>
      </c>
      <c r="AE14" s="10">
        <v>135273</v>
      </c>
      <c r="AF14" s="10">
        <v>57892</v>
      </c>
      <c r="AG14" s="10">
        <v>151781</v>
      </c>
      <c r="AH14" s="10">
        <v>38117.67</v>
      </c>
      <c r="AI14" s="10">
        <v>98089.63</v>
      </c>
      <c r="AJ14" s="10">
        <v>422044.59</v>
      </c>
      <c r="AK14" s="10">
        <v>1355154.29</v>
      </c>
      <c r="AL14" s="10">
        <v>2587</v>
      </c>
      <c r="AM14" s="10">
        <v>8839</v>
      </c>
      <c r="AN14" s="10">
        <v>72117</v>
      </c>
      <c r="AO14" s="10">
        <v>193996</v>
      </c>
      <c r="AP14" s="10">
        <v>13214</v>
      </c>
      <c r="AQ14" s="10">
        <v>39328</v>
      </c>
      <c r="AR14" s="10">
        <v>182628</v>
      </c>
      <c r="AS14" s="10">
        <v>502422</v>
      </c>
      <c r="AT14" s="10">
        <v>74732</v>
      </c>
      <c r="AU14" s="10">
        <v>211577</v>
      </c>
      <c r="AV14" s="10">
        <v>143951</v>
      </c>
      <c r="AW14" s="10">
        <v>389462</v>
      </c>
      <c r="AX14" s="10">
        <v>52954</v>
      </c>
      <c r="AY14" s="10">
        <v>151131</v>
      </c>
      <c r="AZ14" s="10">
        <v>274148</v>
      </c>
      <c r="BA14" s="10">
        <v>807962</v>
      </c>
      <c r="BB14" s="10">
        <v>231529</v>
      </c>
      <c r="BC14" s="10">
        <v>683373</v>
      </c>
      <c r="BD14" s="10">
        <v>896201</v>
      </c>
      <c r="BE14" s="10">
        <v>2605458</v>
      </c>
      <c r="BF14" s="10">
        <v>428969</v>
      </c>
      <c r="BG14" s="10">
        <v>1579470</v>
      </c>
      <c r="BH14" s="10">
        <v>658237</v>
      </c>
      <c r="BI14" s="10">
        <v>1572388</v>
      </c>
      <c r="BJ14" s="10">
        <v>65615</v>
      </c>
      <c r="BK14" s="10">
        <v>162724</v>
      </c>
      <c r="BL14" s="42">
        <f t="shared" si="0"/>
        <v>5338922.91</v>
      </c>
      <c r="BM14" s="42">
        <f t="shared" si="1"/>
        <v>15659270.24</v>
      </c>
    </row>
    <row r="15" spans="1:65" s="7" customFormat="1" x14ac:dyDescent="0.25">
      <c r="A15" s="3" t="s">
        <v>30</v>
      </c>
      <c r="B15" s="10">
        <f>B9-B14</f>
        <v>-12711</v>
      </c>
      <c r="C15" s="10">
        <f t="shared" ref="C15:I15" si="22">C9-C14</f>
        <v>-39996</v>
      </c>
      <c r="D15" s="10">
        <f t="shared" si="22"/>
        <v>-8124</v>
      </c>
      <c r="E15" s="10">
        <f t="shared" si="22"/>
        <v>-23568</v>
      </c>
      <c r="F15" s="10">
        <f t="shared" si="22"/>
        <v>10877</v>
      </c>
      <c r="G15" s="10">
        <f t="shared" si="22"/>
        <v>53479</v>
      </c>
      <c r="H15" s="10">
        <f t="shared" si="22"/>
        <v>26228</v>
      </c>
      <c r="I15" s="10">
        <f t="shared" si="22"/>
        <v>99568</v>
      </c>
      <c r="J15" s="10">
        <f t="shared" ref="J15:BJ15" si="23">J9-J14</f>
        <v>4720</v>
      </c>
      <c r="K15" s="10">
        <f t="shared" si="23"/>
        <v>12444</v>
      </c>
      <c r="L15" s="10">
        <f t="shared" si="23"/>
        <v>14718</v>
      </c>
      <c r="M15" s="10">
        <f t="shared" si="23"/>
        <v>38249</v>
      </c>
      <c r="N15" s="10">
        <f t="shared" si="23"/>
        <v>657</v>
      </c>
      <c r="O15" s="10">
        <f t="shared" ref="O15" si="24">O9-O14</f>
        <v>-5701</v>
      </c>
      <c r="P15" s="10">
        <f t="shared" si="23"/>
        <v>97560.66</v>
      </c>
      <c r="Q15" s="10">
        <f t="shared" si="23"/>
        <v>189890.43</v>
      </c>
      <c r="R15" s="10">
        <f t="shared" si="23"/>
        <v>-2878.4699999999993</v>
      </c>
      <c r="S15" s="10">
        <f t="shared" si="23"/>
        <v>-10227.289999999997</v>
      </c>
      <c r="T15" s="10">
        <f t="shared" si="23"/>
        <v>1907.1000000000058</v>
      </c>
      <c r="U15" s="10">
        <f t="shared" si="23"/>
        <v>8294.2999999999884</v>
      </c>
      <c r="V15" s="10">
        <f t="shared" si="23"/>
        <v>10954</v>
      </c>
      <c r="W15" s="10">
        <f t="shared" ref="W15" si="25">W9-W14</f>
        <v>43215</v>
      </c>
      <c r="X15" s="10">
        <f t="shared" si="23"/>
        <v>27651</v>
      </c>
      <c r="Y15" s="10">
        <f t="shared" ref="Y15" si="26">Y9-Y14</f>
        <v>110349</v>
      </c>
      <c r="Z15" s="10">
        <f t="shared" si="23"/>
        <v>-1548</v>
      </c>
      <c r="AA15" s="10">
        <f t="shared" ref="AA15" si="27">AA9-AA14</f>
        <v>-6238</v>
      </c>
      <c r="AB15" s="10">
        <f t="shared" si="23"/>
        <v>-3200</v>
      </c>
      <c r="AC15" s="10">
        <f t="shared" ref="AC15" si="28">AC9-AC14</f>
        <v>-7593</v>
      </c>
      <c r="AD15" s="10">
        <f t="shared" si="23"/>
        <v>-4267</v>
      </c>
      <c r="AE15" s="10">
        <f t="shared" ref="AE15" si="29">AE9-AE14</f>
        <v>-9461</v>
      </c>
      <c r="AF15" s="10">
        <f t="shared" si="23"/>
        <v>604</v>
      </c>
      <c r="AG15" s="10">
        <f t="shared" si="23"/>
        <v>-4910</v>
      </c>
      <c r="AH15" s="10">
        <f t="shared" si="23"/>
        <v>-8622.6699999999983</v>
      </c>
      <c r="AI15" s="10">
        <f t="shared" si="23"/>
        <v>-16989.850000000006</v>
      </c>
      <c r="AJ15" s="10">
        <f t="shared" si="23"/>
        <v>-57461.440000000002</v>
      </c>
      <c r="AK15" s="10">
        <f t="shared" ref="AK15" si="30">AK9-AK14</f>
        <v>-215172.8600000001</v>
      </c>
      <c r="AL15" s="10">
        <f t="shared" si="23"/>
        <v>598</v>
      </c>
      <c r="AM15" s="10">
        <f t="shared" ref="AM15" si="31">AM9-AM14</f>
        <v>901</v>
      </c>
      <c r="AN15" s="10">
        <f t="shared" si="23"/>
        <v>8664</v>
      </c>
      <c r="AO15" s="10">
        <f t="shared" ref="AO15" si="32">AO9-AO14</f>
        <v>20683</v>
      </c>
      <c r="AP15" s="10">
        <f t="shared" si="23"/>
        <v>628</v>
      </c>
      <c r="AQ15" s="10">
        <f t="shared" ref="AQ15" si="33">AQ9-AQ14</f>
        <v>-2973</v>
      </c>
      <c r="AR15" s="10">
        <f t="shared" si="23"/>
        <v>20792</v>
      </c>
      <c r="AS15" s="10">
        <f t="shared" ref="AS15" si="34">AS9-AS14</f>
        <v>53031</v>
      </c>
      <c r="AT15" s="10">
        <f t="shared" si="23"/>
        <v>-563</v>
      </c>
      <c r="AU15" s="10">
        <f t="shared" si="23"/>
        <v>1079</v>
      </c>
      <c r="AV15" s="10">
        <f t="shared" si="23"/>
        <v>-1515</v>
      </c>
      <c r="AW15" s="10">
        <f t="shared" si="23"/>
        <v>2956</v>
      </c>
      <c r="AX15" s="10">
        <f t="shared" si="23"/>
        <v>7993</v>
      </c>
      <c r="AY15" s="10">
        <f t="shared" ref="AY15" si="35">AY9-AY14</f>
        <v>24349</v>
      </c>
      <c r="AZ15" s="10">
        <f t="shared" si="23"/>
        <v>24144</v>
      </c>
      <c r="BA15" s="10">
        <f t="shared" si="23"/>
        <v>63038</v>
      </c>
      <c r="BB15" s="10">
        <f t="shared" si="23"/>
        <v>8689</v>
      </c>
      <c r="BC15" s="10">
        <f t="shared" ref="BC15" si="36">BC9-BC14</f>
        <v>42604</v>
      </c>
      <c r="BD15" s="10">
        <f t="shared" si="23"/>
        <v>78356</v>
      </c>
      <c r="BE15" s="10">
        <f t="shared" si="23"/>
        <v>216593</v>
      </c>
      <c r="BF15" s="10">
        <f t="shared" ref="BF15:BG15" si="37">BF9-BF14</f>
        <v>-43393</v>
      </c>
      <c r="BG15" s="10">
        <f t="shared" si="37"/>
        <v>-383050</v>
      </c>
      <c r="BH15" s="10">
        <f t="shared" si="23"/>
        <v>-93154</v>
      </c>
      <c r="BI15" s="10">
        <f t="shared" ref="BI15" si="38">BI9-BI14</f>
        <v>-168845</v>
      </c>
      <c r="BJ15" s="10">
        <f t="shared" si="23"/>
        <v>5157</v>
      </c>
      <c r="BK15" s="10">
        <f t="shared" ref="BK15" si="39">BK9-BK14</f>
        <v>14176</v>
      </c>
      <c r="BL15" s="42">
        <f t="shared" si="0"/>
        <v>113460.18</v>
      </c>
      <c r="BM15" s="42">
        <f t="shared" si="1"/>
        <v>100173.72999999986</v>
      </c>
    </row>
  </sheetData>
  <mergeCells count="32">
    <mergeCell ref="H3:I3"/>
    <mergeCell ref="F3:G3"/>
    <mergeCell ref="D3:E3"/>
    <mergeCell ref="B3:C3"/>
    <mergeCell ref="AD3:AE3"/>
    <mergeCell ref="Z3:AA3"/>
    <mergeCell ref="X3:Y3"/>
    <mergeCell ref="V3:W3"/>
    <mergeCell ref="P3:Q3"/>
    <mergeCell ref="AB3:AC3"/>
    <mergeCell ref="L3:M3"/>
    <mergeCell ref="N3:O3"/>
    <mergeCell ref="J3:K3"/>
    <mergeCell ref="T3:U3"/>
    <mergeCell ref="R3:S3"/>
    <mergeCell ref="BB3:BC3"/>
    <mergeCell ref="AZ3:BA3"/>
    <mergeCell ref="AX3:AY3"/>
    <mergeCell ref="AV3:AW3"/>
    <mergeCell ref="AP3:AQ3"/>
    <mergeCell ref="AR3:AS3"/>
    <mergeCell ref="AT3:AU3"/>
    <mergeCell ref="AN3:AO3"/>
    <mergeCell ref="AJ3:AK3"/>
    <mergeCell ref="AH3:AI3"/>
    <mergeCell ref="AF3:AG3"/>
    <mergeCell ref="AL3:AM3"/>
    <mergeCell ref="BD3:BE3"/>
    <mergeCell ref="BL3:BM3"/>
    <mergeCell ref="BJ3:BK3"/>
    <mergeCell ref="BH3:BI3"/>
    <mergeCell ref="BF3:B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6" customWidth="1"/>
    <col min="2" max="94" width="14.28515625" style="6" customWidth="1"/>
    <col min="95" max="16384" width="9.140625" style="6"/>
  </cols>
  <sheetData>
    <row r="1" spans="1:94" ht="18.75" x14ac:dyDescent="0.3">
      <c r="A1" s="8" t="s">
        <v>303</v>
      </c>
    </row>
    <row r="2" spans="1:94" x14ac:dyDescent="0.25">
      <c r="A2" s="5" t="s">
        <v>98</v>
      </c>
    </row>
    <row r="3" spans="1:94" x14ac:dyDescent="0.25">
      <c r="A3" s="137" t="s">
        <v>0</v>
      </c>
      <c r="B3" s="134" t="s">
        <v>1</v>
      </c>
      <c r="C3" s="134"/>
      <c r="D3" s="134"/>
      <c r="E3" s="134" t="s">
        <v>232</v>
      </c>
      <c r="F3" s="134"/>
      <c r="G3" s="134"/>
      <c r="H3" s="134" t="s">
        <v>2</v>
      </c>
      <c r="I3" s="134"/>
      <c r="J3" s="134"/>
      <c r="K3" s="134" t="s">
        <v>3</v>
      </c>
      <c r="L3" s="134"/>
      <c r="M3" s="134"/>
      <c r="N3" s="134" t="s">
        <v>241</v>
      </c>
      <c r="O3" s="134"/>
      <c r="P3" s="134"/>
      <c r="Q3" s="127" t="s">
        <v>233</v>
      </c>
      <c r="R3" s="133"/>
      <c r="S3" s="128"/>
      <c r="T3" s="127" t="s">
        <v>244</v>
      </c>
      <c r="U3" s="133"/>
      <c r="V3" s="128"/>
      <c r="W3" s="127" t="s">
        <v>5</v>
      </c>
      <c r="X3" s="133"/>
      <c r="Y3" s="128"/>
      <c r="Z3" s="135" t="s">
        <v>4</v>
      </c>
      <c r="AA3" s="133"/>
      <c r="AB3" s="136"/>
      <c r="AC3" s="135" t="s">
        <v>6</v>
      </c>
      <c r="AD3" s="133"/>
      <c r="AE3" s="136"/>
      <c r="AF3" s="127" t="s">
        <v>7</v>
      </c>
      <c r="AG3" s="133"/>
      <c r="AH3" s="128"/>
      <c r="AI3" s="127" t="s">
        <v>8</v>
      </c>
      <c r="AJ3" s="133"/>
      <c r="AK3" s="128"/>
      <c r="AL3" s="127" t="s">
        <v>9</v>
      </c>
      <c r="AM3" s="133"/>
      <c r="AN3" s="128"/>
      <c r="AO3" s="127" t="s">
        <v>240</v>
      </c>
      <c r="AP3" s="133"/>
      <c r="AQ3" s="128"/>
      <c r="AR3" s="127" t="s">
        <v>10</v>
      </c>
      <c r="AS3" s="133"/>
      <c r="AT3" s="128"/>
      <c r="AU3" s="127" t="s">
        <v>11</v>
      </c>
      <c r="AV3" s="133"/>
      <c r="AW3" s="128"/>
      <c r="AX3" s="127" t="s">
        <v>234</v>
      </c>
      <c r="AY3" s="133"/>
      <c r="AZ3" s="128"/>
      <c r="BA3" s="127" t="s">
        <v>243</v>
      </c>
      <c r="BB3" s="133"/>
      <c r="BC3" s="128"/>
      <c r="BD3" s="127" t="s">
        <v>12</v>
      </c>
      <c r="BE3" s="133"/>
      <c r="BF3" s="128"/>
      <c r="BG3" s="127" t="s">
        <v>235</v>
      </c>
      <c r="BH3" s="133"/>
      <c r="BI3" s="128"/>
      <c r="BJ3" s="127" t="s">
        <v>236</v>
      </c>
      <c r="BK3" s="133"/>
      <c r="BL3" s="128"/>
      <c r="BM3" s="127" t="s">
        <v>239</v>
      </c>
      <c r="BN3" s="133"/>
      <c r="BO3" s="128"/>
      <c r="BP3" s="134" t="s">
        <v>13</v>
      </c>
      <c r="BQ3" s="134"/>
      <c r="BR3" s="134"/>
      <c r="BS3" s="134" t="s">
        <v>14</v>
      </c>
      <c r="BT3" s="134"/>
      <c r="BU3" s="134"/>
      <c r="BV3" s="134" t="s">
        <v>15</v>
      </c>
      <c r="BW3" s="134"/>
      <c r="BX3" s="134"/>
      <c r="BY3" s="134" t="s">
        <v>16</v>
      </c>
      <c r="BZ3" s="134"/>
      <c r="CA3" s="134"/>
      <c r="CB3" s="134" t="s">
        <v>17</v>
      </c>
      <c r="CC3" s="134"/>
      <c r="CD3" s="134"/>
      <c r="CE3" s="134" t="s">
        <v>237</v>
      </c>
      <c r="CF3" s="134"/>
      <c r="CG3" s="134"/>
      <c r="CH3" s="134" t="s">
        <v>238</v>
      </c>
      <c r="CI3" s="134"/>
      <c r="CJ3" s="134"/>
      <c r="CK3" s="134" t="s">
        <v>18</v>
      </c>
      <c r="CL3" s="134"/>
      <c r="CM3" s="134"/>
      <c r="CN3" s="134" t="s">
        <v>19</v>
      </c>
      <c r="CO3" s="134"/>
      <c r="CP3" s="134"/>
    </row>
    <row r="4" spans="1:94" x14ac:dyDescent="0.25">
      <c r="A4" s="137"/>
      <c r="B4" s="48" t="s">
        <v>152</v>
      </c>
      <c r="C4" s="48" t="s">
        <v>153</v>
      </c>
      <c r="D4" s="48" t="s">
        <v>139</v>
      </c>
      <c r="E4" s="48" t="s">
        <v>152</v>
      </c>
      <c r="F4" s="48" t="s">
        <v>153</v>
      </c>
      <c r="G4" s="48" t="s">
        <v>139</v>
      </c>
      <c r="H4" s="48" t="s">
        <v>152</v>
      </c>
      <c r="I4" s="48" t="s">
        <v>153</v>
      </c>
      <c r="J4" s="48" t="s">
        <v>139</v>
      </c>
      <c r="K4" s="48" t="s">
        <v>152</v>
      </c>
      <c r="L4" s="48" t="s">
        <v>153</v>
      </c>
      <c r="M4" s="48" t="s">
        <v>139</v>
      </c>
      <c r="N4" s="48" t="s">
        <v>152</v>
      </c>
      <c r="O4" s="48" t="s">
        <v>153</v>
      </c>
      <c r="P4" s="48" t="s">
        <v>139</v>
      </c>
      <c r="Q4" s="48" t="s">
        <v>152</v>
      </c>
      <c r="R4" s="48" t="s">
        <v>153</v>
      </c>
      <c r="S4" s="48" t="s">
        <v>139</v>
      </c>
      <c r="T4" s="48" t="s">
        <v>152</v>
      </c>
      <c r="U4" s="48" t="s">
        <v>153</v>
      </c>
      <c r="V4" s="48" t="s">
        <v>139</v>
      </c>
      <c r="W4" s="48" t="s">
        <v>152</v>
      </c>
      <c r="X4" s="48" t="s">
        <v>153</v>
      </c>
      <c r="Y4" s="48" t="s">
        <v>139</v>
      </c>
      <c r="Z4" s="48" t="s">
        <v>152</v>
      </c>
      <c r="AA4" s="48" t="s">
        <v>153</v>
      </c>
      <c r="AB4" s="48" t="s">
        <v>139</v>
      </c>
      <c r="AC4" s="48" t="s">
        <v>152</v>
      </c>
      <c r="AD4" s="48" t="s">
        <v>153</v>
      </c>
      <c r="AE4" s="48" t="s">
        <v>139</v>
      </c>
      <c r="AF4" s="48" t="s">
        <v>152</v>
      </c>
      <c r="AG4" s="48" t="s">
        <v>153</v>
      </c>
      <c r="AH4" s="48" t="s">
        <v>139</v>
      </c>
      <c r="AI4" s="48" t="s">
        <v>152</v>
      </c>
      <c r="AJ4" s="48" t="s">
        <v>153</v>
      </c>
      <c r="AK4" s="48" t="s">
        <v>139</v>
      </c>
      <c r="AL4" s="48" t="s">
        <v>152</v>
      </c>
      <c r="AM4" s="48" t="s">
        <v>153</v>
      </c>
      <c r="AN4" s="48" t="s">
        <v>139</v>
      </c>
      <c r="AO4" s="48" t="s">
        <v>152</v>
      </c>
      <c r="AP4" s="48" t="s">
        <v>153</v>
      </c>
      <c r="AQ4" s="48" t="s">
        <v>139</v>
      </c>
      <c r="AR4" s="48" t="s">
        <v>152</v>
      </c>
      <c r="AS4" s="48" t="s">
        <v>153</v>
      </c>
      <c r="AT4" s="48" t="s">
        <v>139</v>
      </c>
      <c r="AU4" s="48" t="s">
        <v>152</v>
      </c>
      <c r="AV4" s="48" t="s">
        <v>153</v>
      </c>
      <c r="AW4" s="48" t="s">
        <v>139</v>
      </c>
      <c r="AX4" s="48" t="s">
        <v>152</v>
      </c>
      <c r="AY4" s="48" t="s">
        <v>153</v>
      </c>
      <c r="AZ4" s="48" t="s">
        <v>139</v>
      </c>
      <c r="BA4" s="48" t="s">
        <v>152</v>
      </c>
      <c r="BB4" s="48" t="s">
        <v>153</v>
      </c>
      <c r="BC4" s="48" t="s">
        <v>139</v>
      </c>
      <c r="BD4" s="48" t="s">
        <v>152</v>
      </c>
      <c r="BE4" s="48" t="s">
        <v>153</v>
      </c>
      <c r="BF4" s="48" t="s">
        <v>139</v>
      </c>
      <c r="BG4" s="48" t="s">
        <v>152</v>
      </c>
      <c r="BH4" s="48" t="s">
        <v>153</v>
      </c>
      <c r="BI4" s="48" t="s">
        <v>139</v>
      </c>
      <c r="BJ4" s="48" t="s">
        <v>152</v>
      </c>
      <c r="BK4" s="48" t="s">
        <v>153</v>
      </c>
      <c r="BL4" s="48" t="s">
        <v>139</v>
      </c>
      <c r="BM4" s="48" t="s">
        <v>152</v>
      </c>
      <c r="BN4" s="48" t="s">
        <v>153</v>
      </c>
      <c r="BO4" s="48" t="s">
        <v>139</v>
      </c>
      <c r="BP4" s="48" t="s">
        <v>152</v>
      </c>
      <c r="BQ4" s="48" t="s">
        <v>153</v>
      </c>
      <c r="BR4" s="48" t="s">
        <v>139</v>
      </c>
      <c r="BS4" s="48" t="s">
        <v>152</v>
      </c>
      <c r="BT4" s="48" t="s">
        <v>153</v>
      </c>
      <c r="BU4" s="48" t="s">
        <v>139</v>
      </c>
      <c r="BV4" s="48" t="s">
        <v>152</v>
      </c>
      <c r="BW4" s="48" t="s">
        <v>153</v>
      </c>
      <c r="BX4" s="48" t="s">
        <v>139</v>
      </c>
      <c r="BY4" s="48" t="s">
        <v>152</v>
      </c>
      <c r="BZ4" s="48" t="s">
        <v>153</v>
      </c>
      <c r="CA4" s="48" t="s">
        <v>139</v>
      </c>
      <c r="CB4" s="48" t="s">
        <v>152</v>
      </c>
      <c r="CC4" s="48" t="s">
        <v>153</v>
      </c>
      <c r="CD4" s="48" t="s">
        <v>139</v>
      </c>
      <c r="CE4" s="48" t="s">
        <v>152</v>
      </c>
      <c r="CF4" s="48" t="s">
        <v>153</v>
      </c>
      <c r="CG4" s="48" t="s">
        <v>139</v>
      </c>
      <c r="CH4" s="48" t="s">
        <v>152</v>
      </c>
      <c r="CI4" s="48" t="s">
        <v>153</v>
      </c>
      <c r="CJ4" s="48" t="s">
        <v>139</v>
      </c>
      <c r="CK4" s="48" t="s">
        <v>152</v>
      </c>
      <c r="CL4" s="48" t="s">
        <v>153</v>
      </c>
      <c r="CM4" s="48" t="s">
        <v>139</v>
      </c>
      <c r="CN4" s="48" t="s">
        <v>152</v>
      </c>
      <c r="CO4" s="48" t="s">
        <v>153</v>
      </c>
      <c r="CP4" s="48" t="s">
        <v>139</v>
      </c>
    </row>
    <row r="5" spans="1:94" x14ac:dyDescent="0.25">
      <c r="A5" s="3" t="s">
        <v>154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</row>
    <row r="6" spans="1:94" ht="30" x14ac:dyDescent="0.25">
      <c r="A6" s="2" t="s">
        <v>155</v>
      </c>
      <c r="B6" s="9">
        <v>39563</v>
      </c>
      <c r="C6" s="9">
        <v>42325</v>
      </c>
      <c r="D6" s="9">
        <f t="shared" ref="D6:D19" si="0">B6+C6</f>
        <v>81888</v>
      </c>
      <c r="E6" s="9">
        <v>52251</v>
      </c>
      <c r="F6" s="9">
        <v>70652</v>
      </c>
      <c r="G6" s="9">
        <f>F6+E6</f>
        <v>122903</v>
      </c>
      <c r="H6" s="9">
        <v>62062</v>
      </c>
      <c r="I6" s="9">
        <v>205854</v>
      </c>
      <c r="J6" s="9">
        <f t="shared" ref="J6:J19" si="1">I6+H6</f>
        <v>267916</v>
      </c>
      <c r="K6" s="9">
        <v>493535</v>
      </c>
      <c r="L6" s="9">
        <v>1205026</v>
      </c>
      <c r="M6" s="9">
        <f>L6+K6</f>
        <v>1698561</v>
      </c>
      <c r="N6" s="9">
        <v>42930</v>
      </c>
      <c r="O6" s="9">
        <v>86761</v>
      </c>
      <c r="P6" s="9">
        <f>O6+N6</f>
        <v>129691</v>
      </c>
      <c r="Q6" s="9">
        <v>117005</v>
      </c>
      <c r="R6" s="9">
        <v>810436</v>
      </c>
      <c r="S6" s="9">
        <f>R6+Q6</f>
        <v>927441</v>
      </c>
      <c r="T6" s="9">
        <v>89513</v>
      </c>
      <c r="U6" s="9">
        <v>733059</v>
      </c>
      <c r="V6" s="9">
        <f>U6+T6</f>
        <v>822572</v>
      </c>
      <c r="W6" s="9">
        <v>286780.59999999998</v>
      </c>
      <c r="X6" s="9">
        <v>286780.59999999998</v>
      </c>
      <c r="Y6" s="9">
        <f>X6+W6</f>
        <v>573561.19999999995</v>
      </c>
      <c r="Z6" s="9">
        <v>258</v>
      </c>
      <c r="AA6" s="9">
        <v>13278</v>
      </c>
      <c r="AB6" s="9">
        <f>AA6+Z6</f>
        <v>13536</v>
      </c>
      <c r="AC6" s="9">
        <v>77085.649999999994</v>
      </c>
      <c r="AD6" s="9">
        <v>237217.36</v>
      </c>
      <c r="AE6" s="9">
        <f>AD6+AC6</f>
        <v>314303.01</v>
      </c>
      <c r="AF6" s="9">
        <v>104336</v>
      </c>
      <c r="AG6" s="9">
        <v>405598</v>
      </c>
      <c r="AH6" s="9">
        <f>AG6+AF6</f>
        <v>509934</v>
      </c>
      <c r="AI6" s="9">
        <v>413832</v>
      </c>
      <c r="AJ6" s="9">
        <v>1460786</v>
      </c>
      <c r="AK6" s="9">
        <f>AJ6+AI6</f>
        <v>1874618</v>
      </c>
      <c r="AL6" s="9">
        <v>175451</v>
      </c>
      <c r="AM6" s="9">
        <v>607126</v>
      </c>
      <c r="AN6" s="9">
        <f>AM6+AL6</f>
        <v>782577</v>
      </c>
      <c r="AO6" s="9">
        <v>25574</v>
      </c>
      <c r="AP6" s="9">
        <v>83714</v>
      </c>
      <c r="AQ6" s="9">
        <f>AO6+AP6</f>
        <v>109288</v>
      </c>
      <c r="AR6" s="9">
        <v>17517</v>
      </c>
      <c r="AS6" s="9">
        <v>55673</v>
      </c>
      <c r="AT6" s="9">
        <f>AS6+AR6</f>
        <v>73190</v>
      </c>
      <c r="AU6" s="9">
        <v>28745</v>
      </c>
      <c r="AV6" s="9">
        <v>172306</v>
      </c>
      <c r="AW6" s="9">
        <f>AV6+AU6</f>
        <v>201051</v>
      </c>
      <c r="AX6" s="9">
        <v>11109.47</v>
      </c>
      <c r="AY6" s="9">
        <v>18958.919999999998</v>
      </c>
      <c r="AZ6" s="9">
        <f>AY6+AX6</f>
        <v>30068.39</v>
      </c>
      <c r="BA6" s="9">
        <v>23886</v>
      </c>
      <c r="BB6" s="9">
        <v>47816</v>
      </c>
      <c r="BC6" s="9">
        <f>BB6+BA6</f>
        <v>71702</v>
      </c>
      <c r="BD6" s="9">
        <v>20866.03</v>
      </c>
      <c r="BE6" s="9">
        <v>1169030.43</v>
      </c>
      <c r="BF6" s="9">
        <f>BE6+BD6</f>
        <v>1189896.46</v>
      </c>
      <c r="BG6" s="9"/>
      <c r="BH6" s="9">
        <v>10486</v>
      </c>
      <c r="BI6" s="9">
        <f>BH6+BG6</f>
        <v>10486</v>
      </c>
      <c r="BJ6" s="9">
        <v>8086</v>
      </c>
      <c r="BK6" s="9">
        <v>27803</v>
      </c>
      <c r="BL6" s="9">
        <f t="shared" ref="BL6:BL19" si="2">BK6+BJ6</f>
        <v>35889</v>
      </c>
      <c r="BM6" s="9">
        <v>86534</v>
      </c>
      <c r="BN6" s="9">
        <v>415013</v>
      </c>
      <c r="BO6" s="9">
        <f>BN6+BM6</f>
        <v>501547</v>
      </c>
      <c r="BP6" s="9">
        <v>48080</v>
      </c>
      <c r="BQ6" s="9">
        <v>250379</v>
      </c>
      <c r="BR6" s="9">
        <f>BQ6+BP6</f>
        <v>298459</v>
      </c>
      <c r="BS6" s="9">
        <v>65124</v>
      </c>
      <c r="BT6" s="9">
        <v>268880</v>
      </c>
      <c r="BU6" s="9">
        <f>BT6+BS6</f>
        <v>334004</v>
      </c>
      <c r="BV6" s="9">
        <v>76507</v>
      </c>
      <c r="BW6" s="9">
        <v>285700</v>
      </c>
      <c r="BX6" s="9">
        <f t="shared" ref="BX6:BX19" si="3">BW6+BV6</f>
        <v>362207</v>
      </c>
      <c r="BY6" s="9">
        <v>186954</v>
      </c>
      <c r="BZ6" s="9">
        <v>264144</v>
      </c>
      <c r="CA6" s="9">
        <f>BZ6+BY6</f>
        <v>451098</v>
      </c>
      <c r="CB6" s="9">
        <v>157003</v>
      </c>
      <c r="CC6" s="9">
        <v>729814</v>
      </c>
      <c r="CD6" s="9">
        <f>CC6+CB6</f>
        <v>886817</v>
      </c>
      <c r="CE6" s="9">
        <v>950036</v>
      </c>
      <c r="CF6" s="9">
        <v>2150004</v>
      </c>
      <c r="CG6" s="9">
        <f>CF6+CE6</f>
        <v>3100040</v>
      </c>
      <c r="CH6" s="9">
        <v>-222246</v>
      </c>
      <c r="CI6" s="9">
        <v>1485007</v>
      </c>
      <c r="CJ6" s="9">
        <f t="shared" ref="CJ6:CJ19" si="4">CI6+CH6</f>
        <v>1262761</v>
      </c>
      <c r="CK6" s="9">
        <v>21947</v>
      </c>
      <c r="CL6" s="9">
        <v>1653389</v>
      </c>
      <c r="CM6" s="9">
        <f>CL6+CK6</f>
        <v>1675336</v>
      </c>
      <c r="CN6" s="9">
        <v>30865</v>
      </c>
      <c r="CO6" s="9">
        <v>111047</v>
      </c>
      <c r="CP6" s="9">
        <f t="shared" ref="CP6:CP19" si="5">CO6+CN6</f>
        <v>141912</v>
      </c>
    </row>
    <row r="7" spans="1:94" ht="15" customHeight="1" x14ac:dyDescent="0.25">
      <c r="A7" s="2" t="s">
        <v>156</v>
      </c>
      <c r="B7" s="9"/>
      <c r="C7" s="9"/>
      <c r="D7" s="9">
        <f t="shared" si="0"/>
        <v>0</v>
      </c>
      <c r="E7" s="9">
        <v>17567</v>
      </c>
      <c r="F7" s="9">
        <v>71858</v>
      </c>
      <c r="G7" s="9">
        <f t="shared" ref="G7:G19" si="6">F7+E7</f>
        <v>89425</v>
      </c>
      <c r="H7" s="9">
        <v>95357</v>
      </c>
      <c r="I7" s="9">
        <v>316293</v>
      </c>
      <c r="J7" s="9">
        <f t="shared" si="1"/>
        <v>411650</v>
      </c>
      <c r="K7" s="9">
        <v>825</v>
      </c>
      <c r="L7" s="9">
        <v>496</v>
      </c>
      <c r="M7" s="9">
        <f t="shared" ref="M7:M19" si="7">L7+K7</f>
        <v>1321</v>
      </c>
      <c r="N7" s="9">
        <v>11224</v>
      </c>
      <c r="O7" s="9">
        <v>15894</v>
      </c>
      <c r="P7" s="9">
        <f t="shared" ref="P7:P19" si="8">O7+N7</f>
        <v>27118</v>
      </c>
      <c r="Q7" s="9"/>
      <c r="R7" s="9"/>
      <c r="S7" s="9">
        <f t="shared" ref="S7:S19" si="9">R7+Q7</f>
        <v>0</v>
      </c>
      <c r="T7" s="9"/>
      <c r="U7" s="9">
        <v>23098</v>
      </c>
      <c r="V7" s="9">
        <f t="shared" ref="V7:V19" si="10">U7+T7</f>
        <v>23098</v>
      </c>
      <c r="W7" s="9">
        <v>25653</v>
      </c>
      <c r="X7" s="9">
        <v>25653</v>
      </c>
      <c r="Y7" s="9">
        <f t="shared" ref="Y7:Y19" si="11">X7+W7</f>
        <v>51306</v>
      </c>
      <c r="Z7" s="9">
        <v>281</v>
      </c>
      <c r="AA7" s="9">
        <v>5773</v>
      </c>
      <c r="AB7" s="9">
        <f t="shared" ref="AB7:AB19" si="12">AA7+Z7</f>
        <v>6054</v>
      </c>
      <c r="AC7" s="9"/>
      <c r="AD7" s="9"/>
      <c r="AE7" s="9">
        <f t="shared" ref="AE7:AE19" si="13">AD7+AC7</f>
        <v>0</v>
      </c>
      <c r="AF7" s="9">
        <v>85493</v>
      </c>
      <c r="AG7" s="9">
        <v>332347</v>
      </c>
      <c r="AH7" s="9">
        <f t="shared" ref="AH7:AH19" si="14">AG7+AF7</f>
        <v>417840</v>
      </c>
      <c r="AI7" s="9"/>
      <c r="AJ7" s="9"/>
      <c r="AK7" s="9">
        <f t="shared" ref="AK7:AK19" si="15">AJ7+AI7</f>
        <v>0</v>
      </c>
      <c r="AL7" s="9">
        <v>5717</v>
      </c>
      <c r="AM7" s="9">
        <v>19783</v>
      </c>
      <c r="AN7" s="9">
        <f t="shared" ref="AN7:AN19" si="16">AM7+AL7</f>
        <v>25500</v>
      </c>
      <c r="AO7" s="9"/>
      <c r="AP7" s="9"/>
      <c r="AQ7" s="9">
        <f t="shared" ref="AQ7:AQ18" si="17">AO7+AP7</f>
        <v>0</v>
      </c>
      <c r="AR7" s="9">
        <v>16891</v>
      </c>
      <c r="AS7" s="9">
        <v>53687</v>
      </c>
      <c r="AT7" s="9">
        <f t="shared" ref="AT7:AT19" si="18">AS7+AR7</f>
        <v>70578</v>
      </c>
      <c r="AU7" s="9">
        <v>10357</v>
      </c>
      <c r="AV7" s="9">
        <v>62081</v>
      </c>
      <c r="AW7" s="9">
        <f t="shared" ref="AW7:AW19" si="19">AV7+AU7</f>
        <v>72438</v>
      </c>
      <c r="AX7" s="9">
        <v>10436</v>
      </c>
      <c r="AY7" s="9">
        <v>22132.36</v>
      </c>
      <c r="AZ7" s="9">
        <f t="shared" ref="AZ7:AZ19" si="20">AY7+AX7</f>
        <v>32568.36</v>
      </c>
      <c r="BA7" s="9">
        <v>9464</v>
      </c>
      <c r="BB7" s="9">
        <v>12555</v>
      </c>
      <c r="BC7" s="9">
        <f t="shared" ref="BC7:BC19" si="21">BB7+BA7</f>
        <v>22019</v>
      </c>
      <c r="BD7" s="9">
        <v>48.81</v>
      </c>
      <c r="BE7" s="9">
        <v>2734.44</v>
      </c>
      <c r="BF7" s="9">
        <f t="shared" ref="BF7:BF19" si="22">BE7+BD7</f>
        <v>2783.25</v>
      </c>
      <c r="BG7" s="9"/>
      <c r="BH7" s="9">
        <v>725</v>
      </c>
      <c r="BI7" s="9">
        <f t="shared" ref="BI7:BI19" si="23">BH7+BG7</f>
        <v>725</v>
      </c>
      <c r="BJ7" s="9"/>
      <c r="BK7" s="9"/>
      <c r="BL7" s="9">
        <f t="shared" si="2"/>
        <v>0</v>
      </c>
      <c r="BM7" s="9">
        <v>50331</v>
      </c>
      <c r="BN7" s="9">
        <v>241387</v>
      </c>
      <c r="BO7" s="9">
        <f t="shared" ref="BO7:BO19" si="24">BN7+BM7</f>
        <v>291718</v>
      </c>
      <c r="BP7" s="9"/>
      <c r="BQ7" s="9"/>
      <c r="BR7" s="9">
        <f t="shared" ref="BR7:BR19" si="25">BQ7+BP7</f>
        <v>0</v>
      </c>
      <c r="BS7" s="9">
        <v>9001</v>
      </c>
      <c r="BT7" s="9">
        <v>154684</v>
      </c>
      <c r="BU7" s="9">
        <f t="shared" ref="BU7:BU19" si="26">BT7+BS7</f>
        <v>163685</v>
      </c>
      <c r="BV7" s="9"/>
      <c r="BW7" s="9"/>
      <c r="BX7" s="9">
        <f t="shared" si="3"/>
        <v>0</v>
      </c>
      <c r="BY7" s="9">
        <v>155521</v>
      </c>
      <c r="BZ7" s="9">
        <v>219733</v>
      </c>
      <c r="CA7" s="9">
        <f t="shared" ref="CA7:CA19" si="27">BZ7+BY7</f>
        <v>375254</v>
      </c>
      <c r="CB7" s="9"/>
      <c r="CC7" s="9"/>
      <c r="CD7" s="9">
        <f t="shared" ref="CD7:CD19" si="28">CC7+CB7</f>
        <v>0</v>
      </c>
      <c r="CE7" s="9"/>
      <c r="CF7" s="9"/>
      <c r="CG7" s="9">
        <f t="shared" ref="CG7:CG19" si="29">CF7+CE7</f>
        <v>0</v>
      </c>
      <c r="CH7" s="9">
        <v>-1160</v>
      </c>
      <c r="CI7" s="9">
        <v>7753</v>
      </c>
      <c r="CJ7" s="9">
        <f t="shared" si="4"/>
        <v>6593</v>
      </c>
      <c r="CK7" s="9"/>
      <c r="CL7" s="9"/>
      <c r="CM7" s="9">
        <f t="shared" ref="CM7:CM19" si="30">CL7+CK7</f>
        <v>0</v>
      </c>
      <c r="CN7" s="9">
        <v>583</v>
      </c>
      <c r="CO7" s="9">
        <v>2098</v>
      </c>
      <c r="CP7" s="9">
        <f t="shared" si="5"/>
        <v>2681</v>
      </c>
    </row>
    <row r="8" spans="1:94" ht="15" customHeight="1" x14ac:dyDescent="0.25">
      <c r="A8" s="2" t="s">
        <v>157</v>
      </c>
      <c r="B8" s="9"/>
      <c r="C8" s="9"/>
      <c r="D8" s="9">
        <f t="shared" si="0"/>
        <v>0</v>
      </c>
      <c r="E8" s="9"/>
      <c r="F8" s="9"/>
      <c r="G8" s="9">
        <f t="shared" si="6"/>
        <v>0</v>
      </c>
      <c r="H8" s="9"/>
      <c r="I8" s="9"/>
      <c r="J8" s="9">
        <f t="shared" si="1"/>
        <v>0</v>
      </c>
      <c r="K8" s="9"/>
      <c r="L8" s="9"/>
      <c r="M8" s="9">
        <f t="shared" si="7"/>
        <v>0</v>
      </c>
      <c r="N8" s="9"/>
      <c r="O8" s="9"/>
      <c r="P8" s="9">
        <f t="shared" si="8"/>
        <v>0</v>
      </c>
      <c r="Q8" s="9"/>
      <c r="R8" s="9"/>
      <c r="S8" s="9">
        <f t="shared" si="9"/>
        <v>0</v>
      </c>
      <c r="T8" s="9"/>
      <c r="U8" s="9"/>
      <c r="V8" s="9">
        <f t="shared" si="10"/>
        <v>0</v>
      </c>
      <c r="W8" s="9"/>
      <c r="X8" s="9"/>
      <c r="Y8" s="9">
        <f t="shared" si="11"/>
        <v>0</v>
      </c>
      <c r="Z8" s="9"/>
      <c r="AA8" s="9"/>
      <c r="AB8" s="9">
        <f t="shared" si="12"/>
        <v>0</v>
      </c>
      <c r="AC8" s="9"/>
      <c r="AD8" s="9"/>
      <c r="AE8" s="9">
        <f t="shared" si="13"/>
        <v>0</v>
      </c>
      <c r="AF8" s="9"/>
      <c r="AG8" s="9"/>
      <c r="AH8" s="9">
        <f t="shared" si="14"/>
        <v>0</v>
      </c>
      <c r="AI8" s="9"/>
      <c r="AJ8" s="9"/>
      <c r="AK8" s="9">
        <f t="shared" si="15"/>
        <v>0</v>
      </c>
      <c r="AL8" s="9"/>
      <c r="AM8" s="9"/>
      <c r="AN8" s="9">
        <f t="shared" si="16"/>
        <v>0</v>
      </c>
      <c r="AO8" s="9"/>
      <c r="AP8" s="9"/>
      <c r="AQ8" s="9">
        <f t="shared" si="17"/>
        <v>0</v>
      </c>
      <c r="AR8" s="9"/>
      <c r="AS8" s="9"/>
      <c r="AT8" s="9">
        <f t="shared" si="18"/>
        <v>0</v>
      </c>
      <c r="AU8" s="9"/>
      <c r="AV8" s="9"/>
      <c r="AW8" s="9">
        <f t="shared" si="19"/>
        <v>0</v>
      </c>
      <c r="AX8" s="9"/>
      <c r="AY8" s="9"/>
      <c r="AZ8" s="9">
        <f t="shared" si="20"/>
        <v>0</v>
      </c>
      <c r="BA8" s="9"/>
      <c r="BB8" s="9"/>
      <c r="BC8" s="9">
        <f t="shared" si="21"/>
        <v>0</v>
      </c>
      <c r="BD8" s="9"/>
      <c r="BE8" s="9"/>
      <c r="BF8" s="9">
        <f t="shared" si="22"/>
        <v>0</v>
      </c>
      <c r="BG8" s="9"/>
      <c r="BH8" s="9"/>
      <c r="BI8" s="9">
        <f t="shared" si="23"/>
        <v>0</v>
      </c>
      <c r="BJ8" s="9"/>
      <c r="BK8" s="9"/>
      <c r="BL8" s="9">
        <f t="shared" si="2"/>
        <v>0</v>
      </c>
      <c r="BM8" s="9"/>
      <c r="BN8" s="9"/>
      <c r="BO8" s="9">
        <f t="shared" si="24"/>
        <v>0</v>
      </c>
      <c r="BP8" s="9"/>
      <c r="BQ8" s="9"/>
      <c r="BR8" s="9">
        <f t="shared" si="25"/>
        <v>0</v>
      </c>
      <c r="BS8" s="9"/>
      <c r="BT8" s="9"/>
      <c r="BU8" s="9">
        <f t="shared" si="26"/>
        <v>0</v>
      </c>
      <c r="BV8" s="9"/>
      <c r="BW8" s="9"/>
      <c r="BX8" s="9">
        <f t="shared" si="3"/>
        <v>0</v>
      </c>
      <c r="BY8" s="9"/>
      <c r="BZ8" s="9"/>
      <c r="CA8" s="9">
        <f t="shared" si="27"/>
        <v>0</v>
      </c>
      <c r="CB8" s="9"/>
      <c r="CC8" s="9"/>
      <c r="CD8" s="9">
        <f t="shared" si="28"/>
        <v>0</v>
      </c>
      <c r="CE8" s="9"/>
      <c r="CF8" s="9"/>
      <c r="CG8" s="9">
        <f t="shared" si="29"/>
        <v>0</v>
      </c>
      <c r="CH8" s="9"/>
      <c r="CI8" s="9"/>
      <c r="CJ8" s="9">
        <f t="shared" si="4"/>
        <v>0</v>
      </c>
      <c r="CK8" s="9"/>
      <c r="CL8" s="9"/>
      <c r="CM8" s="9">
        <f t="shared" si="30"/>
        <v>0</v>
      </c>
      <c r="CN8" s="9"/>
      <c r="CO8" s="9"/>
      <c r="CP8" s="9">
        <f t="shared" si="5"/>
        <v>0</v>
      </c>
    </row>
    <row r="9" spans="1:94" ht="15" customHeight="1" x14ac:dyDescent="0.25">
      <c r="A9" s="2" t="s">
        <v>158</v>
      </c>
      <c r="B9" s="9"/>
      <c r="C9" s="9"/>
      <c r="D9" s="9">
        <f t="shared" si="0"/>
        <v>0</v>
      </c>
      <c r="E9" s="9"/>
      <c r="F9" s="9"/>
      <c r="G9" s="9">
        <f t="shared" si="6"/>
        <v>0</v>
      </c>
      <c r="H9" s="9"/>
      <c r="I9" s="9"/>
      <c r="J9" s="9">
        <f t="shared" si="1"/>
        <v>0</v>
      </c>
      <c r="K9" s="9"/>
      <c r="L9" s="9"/>
      <c r="M9" s="9">
        <f t="shared" si="7"/>
        <v>0</v>
      </c>
      <c r="N9" s="9"/>
      <c r="O9" s="9"/>
      <c r="P9" s="9">
        <f t="shared" si="8"/>
        <v>0</v>
      </c>
      <c r="Q9" s="9"/>
      <c r="R9" s="9"/>
      <c r="S9" s="9">
        <f t="shared" si="9"/>
        <v>0</v>
      </c>
      <c r="T9" s="9"/>
      <c r="U9" s="9"/>
      <c r="V9" s="9">
        <f t="shared" si="10"/>
        <v>0</v>
      </c>
      <c r="W9" s="9"/>
      <c r="X9" s="9"/>
      <c r="Y9" s="9">
        <f t="shared" si="11"/>
        <v>0</v>
      </c>
      <c r="Z9" s="9"/>
      <c r="AA9" s="9"/>
      <c r="AB9" s="9">
        <f t="shared" si="12"/>
        <v>0</v>
      </c>
      <c r="AC9" s="9"/>
      <c r="AD9" s="9"/>
      <c r="AE9" s="9">
        <f t="shared" si="13"/>
        <v>0</v>
      </c>
      <c r="AF9" s="9"/>
      <c r="AG9" s="9"/>
      <c r="AH9" s="9">
        <f t="shared" si="14"/>
        <v>0</v>
      </c>
      <c r="AI9" s="9"/>
      <c r="AJ9" s="9"/>
      <c r="AK9" s="9">
        <f t="shared" si="15"/>
        <v>0</v>
      </c>
      <c r="AL9" s="9"/>
      <c r="AM9" s="9"/>
      <c r="AN9" s="9">
        <f t="shared" si="16"/>
        <v>0</v>
      </c>
      <c r="AO9" s="9"/>
      <c r="AP9" s="9"/>
      <c r="AQ9" s="9">
        <f t="shared" si="17"/>
        <v>0</v>
      </c>
      <c r="AR9" s="9"/>
      <c r="AS9" s="9"/>
      <c r="AT9" s="9">
        <f t="shared" si="18"/>
        <v>0</v>
      </c>
      <c r="AU9" s="9"/>
      <c r="AV9" s="9"/>
      <c r="AW9" s="9">
        <f t="shared" si="19"/>
        <v>0</v>
      </c>
      <c r="AX9" s="9"/>
      <c r="AY9" s="9"/>
      <c r="AZ9" s="9">
        <f t="shared" si="20"/>
        <v>0</v>
      </c>
      <c r="BA9" s="9"/>
      <c r="BB9" s="9"/>
      <c r="BC9" s="9">
        <f t="shared" si="21"/>
        <v>0</v>
      </c>
      <c r="BD9" s="9"/>
      <c r="BE9" s="9"/>
      <c r="BF9" s="9">
        <f t="shared" si="22"/>
        <v>0</v>
      </c>
      <c r="BG9" s="9"/>
      <c r="BH9" s="9"/>
      <c r="BI9" s="9">
        <f t="shared" si="23"/>
        <v>0</v>
      </c>
      <c r="BJ9" s="9"/>
      <c r="BK9" s="9"/>
      <c r="BL9" s="9">
        <f t="shared" si="2"/>
        <v>0</v>
      </c>
      <c r="BM9" s="9"/>
      <c r="BN9" s="9"/>
      <c r="BO9" s="9">
        <f t="shared" si="24"/>
        <v>0</v>
      </c>
      <c r="BP9" s="9"/>
      <c r="BQ9" s="9"/>
      <c r="BR9" s="9">
        <f t="shared" si="25"/>
        <v>0</v>
      </c>
      <c r="BS9" s="9"/>
      <c r="BT9" s="9"/>
      <c r="BU9" s="9">
        <f t="shared" si="26"/>
        <v>0</v>
      </c>
      <c r="BV9" s="9"/>
      <c r="BW9" s="9"/>
      <c r="BX9" s="9">
        <f t="shared" si="3"/>
        <v>0</v>
      </c>
      <c r="BY9" s="9"/>
      <c r="BZ9" s="9"/>
      <c r="CA9" s="9">
        <f t="shared" si="27"/>
        <v>0</v>
      </c>
      <c r="CB9" s="9"/>
      <c r="CC9" s="9"/>
      <c r="CD9" s="9">
        <f t="shared" si="28"/>
        <v>0</v>
      </c>
      <c r="CE9" s="9"/>
      <c r="CF9" s="9"/>
      <c r="CG9" s="9">
        <f t="shared" si="29"/>
        <v>0</v>
      </c>
      <c r="CH9" s="9"/>
      <c r="CI9" s="9"/>
      <c r="CJ9" s="9">
        <f t="shared" si="4"/>
        <v>0</v>
      </c>
      <c r="CK9" s="9"/>
      <c r="CL9" s="9"/>
      <c r="CM9" s="9">
        <f t="shared" si="30"/>
        <v>0</v>
      </c>
      <c r="CN9" s="9"/>
      <c r="CO9" s="9"/>
      <c r="CP9" s="9">
        <f t="shared" si="5"/>
        <v>0</v>
      </c>
    </row>
    <row r="10" spans="1:94" ht="15" customHeight="1" x14ac:dyDescent="0.25">
      <c r="A10" s="2" t="s">
        <v>159</v>
      </c>
      <c r="B10" s="9"/>
      <c r="C10" s="9"/>
      <c r="D10" s="9">
        <f t="shared" si="0"/>
        <v>0</v>
      </c>
      <c r="E10" s="9"/>
      <c r="F10" s="9"/>
      <c r="G10" s="9">
        <f t="shared" si="6"/>
        <v>0</v>
      </c>
      <c r="H10" s="9">
        <v>7114</v>
      </c>
      <c r="I10" s="9">
        <v>23598</v>
      </c>
      <c r="J10" s="9">
        <f t="shared" si="1"/>
        <v>30712</v>
      </c>
      <c r="K10" s="9">
        <v>71436</v>
      </c>
      <c r="L10" s="9">
        <v>161116</v>
      </c>
      <c r="M10" s="9">
        <f t="shared" si="7"/>
        <v>232552</v>
      </c>
      <c r="N10" s="9">
        <v>8663</v>
      </c>
      <c r="O10" s="9">
        <v>12421</v>
      </c>
      <c r="P10" s="9">
        <f t="shared" si="8"/>
        <v>21084</v>
      </c>
      <c r="Q10" s="9">
        <v>3132</v>
      </c>
      <c r="R10" s="9">
        <v>21696</v>
      </c>
      <c r="S10" s="9">
        <f t="shared" si="9"/>
        <v>24828</v>
      </c>
      <c r="T10" s="9">
        <v>18860</v>
      </c>
      <c r="U10" s="9">
        <v>12406</v>
      </c>
      <c r="V10" s="9">
        <f t="shared" si="10"/>
        <v>31266</v>
      </c>
      <c r="W10" s="9">
        <v>98151.43</v>
      </c>
      <c r="X10" s="9">
        <v>98151.43</v>
      </c>
      <c r="Y10" s="9">
        <f t="shared" si="11"/>
        <v>196302.86</v>
      </c>
      <c r="Z10" s="9"/>
      <c r="AA10" s="9"/>
      <c r="AB10" s="9">
        <f t="shared" si="12"/>
        <v>0</v>
      </c>
      <c r="AC10" s="9">
        <v>22.22</v>
      </c>
      <c r="AD10" s="9">
        <v>68</v>
      </c>
      <c r="AE10" s="9">
        <f t="shared" si="13"/>
        <v>90.22</v>
      </c>
      <c r="AF10" s="9">
        <v>29505</v>
      </c>
      <c r="AG10" s="9">
        <v>114697</v>
      </c>
      <c r="AH10" s="9">
        <f t="shared" si="14"/>
        <v>144202</v>
      </c>
      <c r="AI10" s="9">
        <v>100396</v>
      </c>
      <c r="AJ10" s="9">
        <v>316771</v>
      </c>
      <c r="AK10" s="9">
        <f t="shared" si="15"/>
        <v>417167</v>
      </c>
      <c r="AL10" s="9">
        <v>193</v>
      </c>
      <c r="AM10" s="9">
        <v>668</v>
      </c>
      <c r="AN10" s="9">
        <f t="shared" si="16"/>
        <v>861</v>
      </c>
      <c r="AO10" s="9"/>
      <c r="AP10" s="9"/>
      <c r="AQ10" s="9">
        <f t="shared" si="17"/>
        <v>0</v>
      </c>
      <c r="AR10" s="9"/>
      <c r="AS10" s="9"/>
      <c r="AT10" s="9">
        <f t="shared" si="18"/>
        <v>0</v>
      </c>
      <c r="AU10" s="9"/>
      <c r="AV10" s="9"/>
      <c r="AW10" s="9">
        <f t="shared" si="19"/>
        <v>0</v>
      </c>
      <c r="AX10" s="9"/>
      <c r="AY10" s="9"/>
      <c r="AZ10" s="9">
        <f t="shared" si="20"/>
        <v>0</v>
      </c>
      <c r="BA10" s="9"/>
      <c r="BB10" s="9"/>
      <c r="BC10" s="9">
        <f t="shared" si="21"/>
        <v>0</v>
      </c>
      <c r="BD10" s="9">
        <v>19427.38</v>
      </c>
      <c r="BE10" s="9">
        <v>1088429.1599999999</v>
      </c>
      <c r="BF10" s="9">
        <f t="shared" si="22"/>
        <v>1107856.5399999998</v>
      </c>
      <c r="BG10" s="9"/>
      <c r="BH10" s="9"/>
      <c r="BI10" s="9">
        <f t="shared" si="23"/>
        <v>0</v>
      </c>
      <c r="BJ10" s="9"/>
      <c r="BK10" s="9"/>
      <c r="BL10" s="9">
        <f t="shared" si="2"/>
        <v>0</v>
      </c>
      <c r="BM10" s="9"/>
      <c r="BN10" s="9"/>
      <c r="BO10" s="9">
        <f t="shared" si="24"/>
        <v>0</v>
      </c>
      <c r="BP10" s="9"/>
      <c r="BQ10" s="9"/>
      <c r="BR10" s="9">
        <f t="shared" si="25"/>
        <v>0</v>
      </c>
      <c r="BS10" s="9">
        <v>58145</v>
      </c>
      <c r="BT10" s="9"/>
      <c r="BU10" s="9">
        <f t="shared" si="26"/>
        <v>58145</v>
      </c>
      <c r="BV10" s="9">
        <v>25050</v>
      </c>
      <c r="BW10" s="9"/>
      <c r="BX10" s="9">
        <f t="shared" si="3"/>
        <v>25050</v>
      </c>
      <c r="BY10" s="9"/>
      <c r="BZ10" s="9"/>
      <c r="CA10" s="9">
        <f t="shared" si="27"/>
        <v>0</v>
      </c>
      <c r="CB10" s="9">
        <v>32084</v>
      </c>
      <c r="CC10" s="9">
        <v>149138</v>
      </c>
      <c r="CD10" s="9">
        <f t="shared" si="28"/>
        <v>181222</v>
      </c>
      <c r="CE10" s="9">
        <v>682420</v>
      </c>
      <c r="CF10" s="9">
        <v>1680261</v>
      </c>
      <c r="CG10" s="9">
        <f t="shared" si="29"/>
        <v>2362681</v>
      </c>
      <c r="CH10" s="9">
        <v>-139228</v>
      </c>
      <c r="CI10" s="9">
        <v>930294</v>
      </c>
      <c r="CJ10" s="9">
        <f t="shared" si="4"/>
        <v>791066</v>
      </c>
      <c r="CK10" s="9">
        <v>11111</v>
      </c>
      <c r="CL10" s="9">
        <v>837046</v>
      </c>
      <c r="CM10" s="9">
        <f t="shared" si="30"/>
        <v>848157</v>
      </c>
      <c r="CN10" s="9">
        <v>1385</v>
      </c>
      <c r="CO10" s="9">
        <v>4985</v>
      </c>
      <c r="CP10" s="9">
        <f t="shared" si="5"/>
        <v>6370</v>
      </c>
    </row>
    <row r="11" spans="1:94" ht="15" customHeight="1" x14ac:dyDescent="0.25">
      <c r="A11" s="2" t="s">
        <v>160</v>
      </c>
      <c r="B11" s="9"/>
      <c r="C11" s="9"/>
      <c r="D11" s="9">
        <f t="shared" si="0"/>
        <v>0</v>
      </c>
      <c r="E11" s="9"/>
      <c r="F11" s="9"/>
      <c r="G11" s="9">
        <f t="shared" si="6"/>
        <v>0</v>
      </c>
      <c r="H11" s="9"/>
      <c r="I11" s="9"/>
      <c r="J11" s="9">
        <f t="shared" si="1"/>
        <v>0</v>
      </c>
      <c r="K11" s="9"/>
      <c r="L11" s="9"/>
      <c r="M11" s="9">
        <f t="shared" si="7"/>
        <v>0</v>
      </c>
      <c r="N11" s="9"/>
      <c r="O11" s="9"/>
      <c r="P11" s="9">
        <f t="shared" si="8"/>
        <v>0</v>
      </c>
      <c r="Q11" s="9"/>
      <c r="R11" s="9"/>
      <c r="S11" s="9">
        <f t="shared" si="9"/>
        <v>0</v>
      </c>
      <c r="T11" s="9"/>
      <c r="U11" s="9"/>
      <c r="V11" s="9">
        <f t="shared" si="10"/>
        <v>0</v>
      </c>
      <c r="W11" s="9"/>
      <c r="X11" s="9"/>
      <c r="Y11" s="9">
        <f t="shared" si="11"/>
        <v>0</v>
      </c>
      <c r="Z11" s="9"/>
      <c r="AA11" s="9"/>
      <c r="AB11" s="9">
        <f t="shared" si="12"/>
        <v>0</v>
      </c>
      <c r="AC11" s="9"/>
      <c r="AD11" s="9"/>
      <c r="AE11" s="9">
        <f t="shared" si="13"/>
        <v>0</v>
      </c>
      <c r="AF11" s="9"/>
      <c r="AG11" s="9"/>
      <c r="AH11" s="9">
        <f t="shared" si="14"/>
        <v>0</v>
      </c>
      <c r="AI11" s="9"/>
      <c r="AJ11" s="9"/>
      <c r="AK11" s="9">
        <f t="shared" si="15"/>
        <v>0</v>
      </c>
      <c r="AL11" s="9"/>
      <c r="AM11" s="9"/>
      <c r="AN11" s="9">
        <f t="shared" si="16"/>
        <v>0</v>
      </c>
      <c r="AO11" s="9"/>
      <c r="AP11" s="9"/>
      <c r="AQ11" s="9">
        <f t="shared" si="17"/>
        <v>0</v>
      </c>
      <c r="AR11" s="9"/>
      <c r="AS11" s="9"/>
      <c r="AT11" s="9">
        <f t="shared" si="18"/>
        <v>0</v>
      </c>
      <c r="AU11" s="9"/>
      <c r="AV11" s="9"/>
      <c r="AW11" s="9">
        <f t="shared" si="19"/>
        <v>0</v>
      </c>
      <c r="AX11" s="9"/>
      <c r="AY11" s="9"/>
      <c r="AZ11" s="9">
        <f t="shared" si="20"/>
        <v>0</v>
      </c>
      <c r="BA11" s="9"/>
      <c r="BB11" s="9"/>
      <c r="BC11" s="9">
        <f t="shared" si="21"/>
        <v>0</v>
      </c>
      <c r="BD11" s="9">
        <v>0.45</v>
      </c>
      <c r="BE11" s="9">
        <v>25.2</v>
      </c>
      <c r="BF11" s="9">
        <f t="shared" si="22"/>
        <v>25.65</v>
      </c>
      <c r="BG11" s="9"/>
      <c r="BH11" s="9"/>
      <c r="BI11" s="9">
        <f t="shared" si="23"/>
        <v>0</v>
      </c>
      <c r="BJ11" s="9"/>
      <c r="BK11" s="9"/>
      <c r="BL11" s="9">
        <f t="shared" si="2"/>
        <v>0</v>
      </c>
      <c r="BM11" s="9"/>
      <c r="BN11" s="9"/>
      <c r="BO11" s="9">
        <f t="shared" si="24"/>
        <v>0</v>
      </c>
      <c r="BP11" s="9"/>
      <c r="BQ11" s="9"/>
      <c r="BR11" s="9">
        <f t="shared" si="25"/>
        <v>0</v>
      </c>
      <c r="BS11" s="9"/>
      <c r="BT11" s="9"/>
      <c r="BU11" s="9">
        <f t="shared" si="26"/>
        <v>0</v>
      </c>
      <c r="BV11" s="9"/>
      <c r="BW11" s="9"/>
      <c r="BX11" s="9">
        <f t="shared" si="3"/>
        <v>0</v>
      </c>
      <c r="BY11" s="9"/>
      <c r="BZ11" s="9"/>
      <c r="CA11" s="9">
        <f t="shared" si="27"/>
        <v>0</v>
      </c>
      <c r="CB11" s="9"/>
      <c r="CC11" s="9"/>
      <c r="CD11" s="9">
        <f t="shared" si="28"/>
        <v>0</v>
      </c>
      <c r="CE11" s="9">
        <v>0</v>
      </c>
      <c r="CF11" s="9">
        <v>0</v>
      </c>
      <c r="CG11" s="9">
        <f t="shared" si="29"/>
        <v>0</v>
      </c>
      <c r="CH11" s="9">
        <v>0</v>
      </c>
      <c r="CI11" s="9">
        <v>0</v>
      </c>
      <c r="CJ11" s="9">
        <f t="shared" si="4"/>
        <v>0</v>
      </c>
      <c r="CK11" s="9"/>
      <c r="CL11" s="9"/>
      <c r="CM11" s="9">
        <f t="shared" si="30"/>
        <v>0</v>
      </c>
      <c r="CN11" s="9"/>
      <c r="CO11" s="9"/>
      <c r="CP11" s="9">
        <f t="shared" si="5"/>
        <v>0</v>
      </c>
    </row>
    <row r="12" spans="1:94" ht="15" customHeight="1" x14ac:dyDescent="0.25">
      <c r="A12" s="2" t="s">
        <v>161</v>
      </c>
      <c r="B12" s="9"/>
      <c r="C12" s="9"/>
      <c r="D12" s="9">
        <f t="shared" si="0"/>
        <v>0</v>
      </c>
      <c r="E12" s="9"/>
      <c r="F12" s="9"/>
      <c r="G12" s="9">
        <f t="shared" si="6"/>
        <v>0</v>
      </c>
      <c r="H12" s="9"/>
      <c r="I12" s="9"/>
      <c r="J12" s="9">
        <f t="shared" si="1"/>
        <v>0</v>
      </c>
      <c r="K12" s="9"/>
      <c r="L12" s="9"/>
      <c r="M12" s="9">
        <f t="shared" si="7"/>
        <v>0</v>
      </c>
      <c r="N12" s="9"/>
      <c r="O12" s="9"/>
      <c r="P12" s="9">
        <f t="shared" si="8"/>
        <v>0</v>
      </c>
      <c r="Q12" s="9"/>
      <c r="R12" s="9"/>
      <c r="S12" s="9">
        <f t="shared" si="9"/>
        <v>0</v>
      </c>
      <c r="T12" s="9"/>
      <c r="U12" s="9"/>
      <c r="V12" s="9">
        <f t="shared" si="10"/>
        <v>0</v>
      </c>
      <c r="W12" s="9"/>
      <c r="X12" s="9"/>
      <c r="Y12" s="9">
        <f t="shared" si="11"/>
        <v>0</v>
      </c>
      <c r="Z12" s="9"/>
      <c r="AA12" s="9"/>
      <c r="AB12" s="9">
        <f t="shared" si="12"/>
        <v>0</v>
      </c>
      <c r="AC12" s="9"/>
      <c r="AD12" s="9"/>
      <c r="AE12" s="9">
        <f t="shared" si="13"/>
        <v>0</v>
      </c>
      <c r="AF12" s="9">
        <v>298</v>
      </c>
      <c r="AG12" s="9">
        <v>1159</v>
      </c>
      <c r="AH12" s="9">
        <f t="shared" si="14"/>
        <v>1457</v>
      </c>
      <c r="AI12" s="9">
        <v>2016</v>
      </c>
      <c r="AJ12" s="9">
        <v>6361</v>
      </c>
      <c r="AK12" s="9">
        <f t="shared" si="15"/>
        <v>8377</v>
      </c>
      <c r="AL12" s="9"/>
      <c r="AM12" s="9"/>
      <c r="AN12" s="9">
        <f t="shared" si="16"/>
        <v>0</v>
      </c>
      <c r="AO12" s="9"/>
      <c r="AP12" s="9"/>
      <c r="AQ12" s="9">
        <f t="shared" si="17"/>
        <v>0</v>
      </c>
      <c r="AR12" s="9"/>
      <c r="AS12" s="9"/>
      <c r="AT12" s="9">
        <f t="shared" si="18"/>
        <v>0</v>
      </c>
      <c r="AU12" s="9"/>
      <c r="AV12" s="9"/>
      <c r="AW12" s="9">
        <f t="shared" si="19"/>
        <v>0</v>
      </c>
      <c r="AX12" s="9"/>
      <c r="AY12" s="9"/>
      <c r="AZ12" s="9">
        <f t="shared" si="20"/>
        <v>0</v>
      </c>
      <c r="BA12" s="9"/>
      <c r="BB12" s="9"/>
      <c r="BC12" s="9">
        <f t="shared" si="21"/>
        <v>0</v>
      </c>
      <c r="BD12" s="9">
        <v>108.37</v>
      </c>
      <c r="BE12" s="9">
        <v>6071.57</v>
      </c>
      <c r="BF12" s="9">
        <f t="shared" si="22"/>
        <v>6179.94</v>
      </c>
      <c r="BG12" s="9"/>
      <c r="BH12" s="9"/>
      <c r="BI12" s="9">
        <f t="shared" si="23"/>
        <v>0</v>
      </c>
      <c r="BJ12" s="9"/>
      <c r="BK12" s="9"/>
      <c r="BL12" s="9">
        <f t="shared" si="2"/>
        <v>0</v>
      </c>
      <c r="BM12" s="9"/>
      <c r="BN12" s="9"/>
      <c r="BO12" s="9">
        <f t="shared" si="24"/>
        <v>0</v>
      </c>
      <c r="BP12" s="9"/>
      <c r="BQ12" s="9"/>
      <c r="BR12" s="9">
        <f t="shared" si="25"/>
        <v>0</v>
      </c>
      <c r="BS12" s="9"/>
      <c r="BT12" s="9"/>
      <c r="BU12" s="9">
        <f t="shared" si="26"/>
        <v>0</v>
      </c>
      <c r="BV12" s="9"/>
      <c r="BW12" s="9"/>
      <c r="BX12" s="9">
        <f t="shared" si="3"/>
        <v>0</v>
      </c>
      <c r="BY12" s="9"/>
      <c r="BZ12" s="9"/>
      <c r="CA12" s="9">
        <f t="shared" si="27"/>
        <v>0</v>
      </c>
      <c r="CB12" s="9"/>
      <c r="CC12" s="9"/>
      <c r="CD12" s="9">
        <f t="shared" si="28"/>
        <v>0</v>
      </c>
      <c r="CE12" s="9">
        <v>1584</v>
      </c>
      <c r="CF12" s="9">
        <v>3903</v>
      </c>
      <c r="CG12" s="9">
        <f t="shared" si="29"/>
        <v>5487</v>
      </c>
      <c r="CH12" s="9">
        <v>-532</v>
      </c>
      <c r="CI12" s="9">
        <v>3555</v>
      </c>
      <c r="CJ12" s="9">
        <f t="shared" si="4"/>
        <v>3023</v>
      </c>
      <c r="CK12" s="9"/>
      <c r="CL12" s="9"/>
      <c r="CM12" s="9">
        <f t="shared" si="30"/>
        <v>0</v>
      </c>
      <c r="CN12" s="9"/>
      <c r="CO12" s="9"/>
      <c r="CP12" s="9">
        <f t="shared" si="5"/>
        <v>0</v>
      </c>
    </row>
    <row r="13" spans="1:94" ht="15" customHeight="1" x14ac:dyDescent="0.25">
      <c r="A13" s="2" t="s">
        <v>287</v>
      </c>
      <c r="B13" s="9"/>
      <c r="C13" s="9"/>
      <c r="D13" s="9"/>
      <c r="E13" s="9"/>
      <c r="F13" s="9"/>
      <c r="G13" s="9">
        <f t="shared" si="6"/>
        <v>0</v>
      </c>
      <c r="H13" s="9"/>
      <c r="I13" s="9"/>
      <c r="J13" s="9">
        <f t="shared" si="1"/>
        <v>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>
        <v>0</v>
      </c>
      <c r="CF13" s="9">
        <v>0</v>
      </c>
      <c r="CG13" s="9"/>
      <c r="CH13" s="9">
        <v>0</v>
      </c>
      <c r="CI13" s="9">
        <v>0</v>
      </c>
      <c r="CJ13" s="9"/>
      <c r="CK13" s="9"/>
      <c r="CL13" s="9"/>
      <c r="CM13" s="9"/>
      <c r="CN13" s="9"/>
      <c r="CO13" s="9"/>
      <c r="CP13" s="9"/>
    </row>
    <row r="14" spans="1:94" ht="15" customHeight="1" x14ac:dyDescent="0.25">
      <c r="A14" s="2" t="s">
        <v>288</v>
      </c>
      <c r="B14" s="9">
        <v>21942</v>
      </c>
      <c r="C14" s="9">
        <v>23474</v>
      </c>
      <c r="D14" s="9">
        <f t="shared" si="0"/>
        <v>45416</v>
      </c>
      <c r="E14" s="9">
        <v>2008</v>
      </c>
      <c r="F14" s="9">
        <v>15317</v>
      </c>
      <c r="G14" s="9">
        <f t="shared" si="6"/>
        <v>17325</v>
      </c>
      <c r="H14" s="9">
        <v>52679</v>
      </c>
      <c r="I14" s="9">
        <v>174732</v>
      </c>
      <c r="J14" s="9">
        <f t="shared" si="1"/>
        <v>227411</v>
      </c>
      <c r="K14" s="9">
        <v>3998</v>
      </c>
      <c r="L14" s="9">
        <v>134916</v>
      </c>
      <c r="M14" s="9">
        <f t="shared" si="7"/>
        <v>138914</v>
      </c>
      <c r="N14" s="9">
        <v>30219</v>
      </c>
      <c r="O14" s="9">
        <v>41062</v>
      </c>
      <c r="P14" s="9">
        <f t="shared" si="8"/>
        <v>71281</v>
      </c>
      <c r="Q14" s="9">
        <v>24298</v>
      </c>
      <c r="R14" s="9">
        <v>168297</v>
      </c>
      <c r="S14" s="9">
        <f t="shared" si="9"/>
        <v>192595</v>
      </c>
      <c r="T14" s="9">
        <v>2500</v>
      </c>
      <c r="U14" s="9">
        <v>23573</v>
      </c>
      <c r="V14" s="9">
        <f t="shared" si="10"/>
        <v>26073</v>
      </c>
      <c r="W14" s="9">
        <v>106820.01</v>
      </c>
      <c r="X14" s="9">
        <v>106820.01</v>
      </c>
      <c r="Y14" s="9">
        <f t="shared" si="11"/>
        <v>213640.02</v>
      </c>
      <c r="Z14" s="9">
        <v>1706</v>
      </c>
      <c r="AA14" s="9">
        <v>1495</v>
      </c>
      <c r="AB14" s="9">
        <f t="shared" si="12"/>
        <v>3201</v>
      </c>
      <c r="AC14" s="9">
        <v>21435.68</v>
      </c>
      <c r="AD14" s="9">
        <v>65964.479999999996</v>
      </c>
      <c r="AE14" s="9">
        <f t="shared" si="13"/>
        <v>87400.16</v>
      </c>
      <c r="AF14" s="9">
        <v>44725</v>
      </c>
      <c r="AG14" s="9">
        <v>173867</v>
      </c>
      <c r="AH14" s="9">
        <f t="shared" si="14"/>
        <v>218592</v>
      </c>
      <c r="AI14" s="9">
        <v>90704</v>
      </c>
      <c r="AJ14" s="9">
        <v>286190</v>
      </c>
      <c r="AK14" s="9">
        <f t="shared" si="15"/>
        <v>376894</v>
      </c>
      <c r="AL14" s="9">
        <v>19704</v>
      </c>
      <c r="AM14" s="9">
        <v>68180</v>
      </c>
      <c r="AN14" s="9">
        <f t="shared" si="16"/>
        <v>87884</v>
      </c>
      <c r="AO14" s="9">
        <v>3017</v>
      </c>
      <c r="AP14" s="9">
        <v>9424</v>
      </c>
      <c r="AQ14" s="9">
        <f t="shared" si="17"/>
        <v>12441</v>
      </c>
      <c r="AR14" s="9">
        <v>29307</v>
      </c>
      <c r="AS14" s="9">
        <v>93148</v>
      </c>
      <c r="AT14" s="9">
        <f t="shared" si="18"/>
        <v>122455</v>
      </c>
      <c r="AU14" s="9">
        <v>9080</v>
      </c>
      <c r="AV14" s="9">
        <v>54428</v>
      </c>
      <c r="AW14" s="9">
        <f t="shared" si="19"/>
        <v>63508</v>
      </c>
      <c r="AX14" s="9">
        <v>6994.81</v>
      </c>
      <c r="AY14" s="9">
        <v>9266.85</v>
      </c>
      <c r="AZ14" s="9">
        <f t="shared" si="20"/>
        <v>16261.66</v>
      </c>
      <c r="BA14" s="9">
        <v>19605</v>
      </c>
      <c r="BB14" s="9">
        <v>83629</v>
      </c>
      <c r="BC14" s="9">
        <f t="shared" si="21"/>
        <v>103234</v>
      </c>
      <c r="BD14" s="9">
        <v>5262.74</v>
      </c>
      <c r="BE14" s="9">
        <v>294847.96000000002</v>
      </c>
      <c r="BF14" s="9">
        <f t="shared" si="22"/>
        <v>300110.7</v>
      </c>
      <c r="BG14" s="9">
        <v>498</v>
      </c>
      <c r="BH14" s="9">
        <v>5252</v>
      </c>
      <c r="BI14" s="9">
        <f t="shared" si="23"/>
        <v>5750</v>
      </c>
      <c r="BJ14" s="9">
        <v>5582</v>
      </c>
      <c r="BK14" s="9">
        <v>19194</v>
      </c>
      <c r="BL14" s="9">
        <f t="shared" si="2"/>
        <v>24776</v>
      </c>
      <c r="BM14" s="9">
        <v>83450</v>
      </c>
      <c r="BN14" s="9">
        <v>400224</v>
      </c>
      <c r="BO14" s="9">
        <f t="shared" si="24"/>
        <v>483674</v>
      </c>
      <c r="BP14" s="9">
        <v>27361</v>
      </c>
      <c r="BQ14" s="9">
        <v>142482</v>
      </c>
      <c r="BR14" s="9">
        <f t="shared" si="25"/>
        <v>169843</v>
      </c>
      <c r="BS14" s="9">
        <v>9580</v>
      </c>
      <c r="BT14" s="9">
        <v>151332</v>
      </c>
      <c r="BU14" s="9">
        <f t="shared" si="26"/>
        <v>160912</v>
      </c>
      <c r="BV14" s="9">
        <v>244</v>
      </c>
      <c r="BW14" s="9">
        <v>204928</v>
      </c>
      <c r="BX14" s="9">
        <f t="shared" si="3"/>
        <v>205172</v>
      </c>
      <c r="BY14" s="9"/>
      <c r="BZ14" s="9"/>
      <c r="CA14" s="9">
        <f t="shared" si="27"/>
        <v>0</v>
      </c>
      <c r="CB14" s="9">
        <v>71929</v>
      </c>
      <c r="CC14" s="9">
        <v>334353</v>
      </c>
      <c r="CD14" s="9">
        <f t="shared" si="28"/>
        <v>406282</v>
      </c>
      <c r="CE14" s="9">
        <v>33788</v>
      </c>
      <c r="CF14" s="9">
        <v>81039</v>
      </c>
      <c r="CG14" s="9">
        <f t="shared" si="29"/>
        <v>114827</v>
      </c>
      <c r="CH14" s="9">
        <v>-7774</v>
      </c>
      <c r="CI14" s="9">
        <v>51947</v>
      </c>
      <c r="CJ14" s="9">
        <f t="shared" si="4"/>
        <v>44173</v>
      </c>
      <c r="CK14" s="9">
        <v>1653</v>
      </c>
      <c r="CL14" s="9">
        <v>124555</v>
      </c>
      <c r="CM14" s="9">
        <f t="shared" si="30"/>
        <v>126208</v>
      </c>
      <c r="CN14" s="9">
        <v>20535</v>
      </c>
      <c r="CO14" s="9">
        <v>73884</v>
      </c>
      <c r="CP14" s="9">
        <f t="shared" si="5"/>
        <v>94419</v>
      </c>
    </row>
    <row r="15" spans="1:94" ht="15" customHeight="1" x14ac:dyDescent="0.25">
      <c r="A15" s="2" t="s">
        <v>168</v>
      </c>
      <c r="B15" s="9"/>
      <c r="C15" s="9"/>
      <c r="D15" s="9">
        <f t="shared" si="0"/>
        <v>0</v>
      </c>
      <c r="E15" s="9"/>
      <c r="F15" s="9"/>
      <c r="G15" s="9">
        <f t="shared" si="6"/>
        <v>0</v>
      </c>
      <c r="H15" s="9"/>
      <c r="I15" s="9"/>
      <c r="J15" s="9">
        <f t="shared" si="1"/>
        <v>0</v>
      </c>
      <c r="K15" s="9"/>
      <c r="L15" s="9"/>
      <c r="M15" s="9">
        <f t="shared" si="7"/>
        <v>0</v>
      </c>
      <c r="N15" s="9"/>
      <c r="O15" s="9"/>
      <c r="P15" s="9">
        <f t="shared" si="8"/>
        <v>0</v>
      </c>
      <c r="Q15" s="9">
        <f>364+549</f>
        <v>913</v>
      </c>
      <c r="R15" s="9">
        <f>2519+3801</f>
        <v>6320</v>
      </c>
      <c r="S15" s="9">
        <f t="shared" si="9"/>
        <v>7233</v>
      </c>
      <c r="T15" s="9"/>
      <c r="U15" s="9"/>
      <c r="V15" s="9">
        <f t="shared" si="10"/>
        <v>0</v>
      </c>
      <c r="W15" s="9"/>
      <c r="X15" s="9"/>
      <c r="Y15" s="9">
        <f t="shared" si="11"/>
        <v>0</v>
      </c>
      <c r="Z15" s="9"/>
      <c r="AA15" s="9"/>
      <c r="AB15" s="9">
        <f t="shared" si="12"/>
        <v>0</v>
      </c>
      <c r="AC15" s="9"/>
      <c r="AD15" s="9"/>
      <c r="AE15" s="9">
        <f t="shared" si="13"/>
        <v>0</v>
      </c>
      <c r="AF15" s="9">
        <v>49</v>
      </c>
      <c r="AG15" s="9">
        <v>192</v>
      </c>
      <c r="AH15" s="9">
        <f t="shared" si="14"/>
        <v>241</v>
      </c>
      <c r="AI15" s="9">
        <v>40414</v>
      </c>
      <c r="AJ15" s="9">
        <v>121187</v>
      </c>
      <c r="AK15" s="9">
        <f t="shared" si="15"/>
        <v>161601</v>
      </c>
      <c r="AL15" s="9"/>
      <c r="AM15" s="9"/>
      <c r="AN15" s="9">
        <f>AM15+AL15</f>
        <v>0</v>
      </c>
      <c r="AO15" s="9"/>
      <c r="AP15" s="9"/>
      <c r="AQ15" s="9">
        <f t="shared" si="17"/>
        <v>0</v>
      </c>
      <c r="AR15" s="9"/>
      <c r="AS15" s="9"/>
      <c r="AT15" s="9">
        <f t="shared" si="18"/>
        <v>0</v>
      </c>
      <c r="AU15" s="9"/>
      <c r="AV15" s="9"/>
      <c r="AW15" s="9">
        <f t="shared" si="19"/>
        <v>0</v>
      </c>
      <c r="AX15" s="9"/>
      <c r="AY15" s="9"/>
      <c r="AZ15" s="9">
        <f t="shared" si="20"/>
        <v>0</v>
      </c>
      <c r="BA15" s="9"/>
      <c r="BB15" s="9"/>
      <c r="BC15" s="9">
        <f t="shared" si="21"/>
        <v>0</v>
      </c>
      <c r="BD15" s="9">
        <v>6.3</v>
      </c>
      <c r="BE15" s="9">
        <v>353.07</v>
      </c>
      <c r="BF15" s="9">
        <f t="shared" si="22"/>
        <v>359.37</v>
      </c>
      <c r="BG15" s="9"/>
      <c r="BH15" s="9"/>
      <c r="BI15" s="9">
        <f t="shared" si="23"/>
        <v>0</v>
      </c>
      <c r="BJ15" s="9"/>
      <c r="BK15" s="9"/>
      <c r="BL15" s="9">
        <f t="shared" si="2"/>
        <v>0</v>
      </c>
      <c r="BM15" s="9">
        <v>2243</v>
      </c>
      <c r="BN15" s="9">
        <v>10757</v>
      </c>
      <c r="BO15" s="9">
        <f t="shared" si="24"/>
        <v>13000</v>
      </c>
      <c r="BP15" s="9">
        <v>29</v>
      </c>
      <c r="BQ15" s="9">
        <v>149</v>
      </c>
      <c r="BR15" s="9">
        <f t="shared" si="25"/>
        <v>178</v>
      </c>
      <c r="BS15" s="9"/>
      <c r="BT15" s="9"/>
      <c r="BU15" s="9">
        <f t="shared" si="26"/>
        <v>0</v>
      </c>
      <c r="BV15" s="9">
        <v>431</v>
      </c>
      <c r="BW15" s="9"/>
      <c r="BX15" s="9">
        <f t="shared" si="3"/>
        <v>431</v>
      </c>
      <c r="BY15" s="9"/>
      <c r="BZ15" s="9"/>
      <c r="CA15" s="9">
        <f t="shared" si="27"/>
        <v>0</v>
      </c>
      <c r="CB15" s="9"/>
      <c r="CC15" s="9"/>
      <c r="CD15" s="9">
        <f t="shared" si="28"/>
        <v>0</v>
      </c>
      <c r="CE15" s="9">
        <v>0</v>
      </c>
      <c r="CF15" s="9">
        <v>0</v>
      </c>
      <c r="CG15" s="9">
        <f t="shared" si="29"/>
        <v>0</v>
      </c>
      <c r="CH15" s="9">
        <v>-1390</v>
      </c>
      <c r="CI15" s="9">
        <v>9290</v>
      </c>
      <c r="CJ15" s="9">
        <f t="shared" si="4"/>
        <v>7900</v>
      </c>
      <c r="CK15" s="9"/>
      <c r="CL15" s="9"/>
      <c r="CM15" s="9">
        <f t="shared" si="30"/>
        <v>0</v>
      </c>
      <c r="CN15" s="9"/>
      <c r="CO15" s="9"/>
      <c r="CP15" s="9">
        <f t="shared" si="5"/>
        <v>0</v>
      </c>
    </row>
    <row r="16" spans="1:94" ht="15" customHeight="1" x14ac:dyDescent="0.25">
      <c r="A16" s="2" t="s">
        <v>162</v>
      </c>
      <c r="B16" s="9"/>
      <c r="C16" s="9"/>
      <c r="D16" s="9">
        <f t="shared" si="0"/>
        <v>0</v>
      </c>
      <c r="E16" s="9"/>
      <c r="F16" s="9"/>
      <c r="G16" s="9">
        <f t="shared" si="6"/>
        <v>0</v>
      </c>
      <c r="H16" s="9"/>
      <c r="I16" s="9"/>
      <c r="J16" s="9">
        <f t="shared" si="1"/>
        <v>0</v>
      </c>
      <c r="K16" s="9"/>
      <c r="L16" s="9"/>
      <c r="M16" s="9">
        <f t="shared" si="7"/>
        <v>0</v>
      </c>
      <c r="N16" s="9"/>
      <c r="O16" s="9"/>
      <c r="P16" s="9">
        <f t="shared" si="8"/>
        <v>0</v>
      </c>
      <c r="Q16" s="9"/>
      <c r="R16" s="9"/>
      <c r="S16" s="9">
        <f t="shared" si="9"/>
        <v>0</v>
      </c>
      <c r="T16" s="9"/>
      <c r="U16" s="9"/>
      <c r="V16" s="9">
        <f t="shared" si="10"/>
        <v>0</v>
      </c>
      <c r="W16" s="9"/>
      <c r="X16" s="9"/>
      <c r="Y16" s="9">
        <f t="shared" si="11"/>
        <v>0</v>
      </c>
      <c r="Z16" s="9"/>
      <c r="AA16" s="9"/>
      <c r="AB16" s="9">
        <f t="shared" si="12"/>
        <v>0</v>
      </c>
      <c r="AC16" s="9"/>
      <c r="AD16" s="9"/>
      <c r="AE16" s="9">
        <f t="shared" si="13"/>
        <v>0</v>
      </c>
      <c r="AF16" s="9"/>
      <c r="AG16" s="9"/>
      <c r="AH16" s="9">
        <f t="shared" si="14"/>
        <v>0</v>
      </c>
      <c r="AI16" s="9"/>
      <c r="AJ16" s="9"/>
      <c r="AK16" s="9">
        <f t="shared" si="15"/>
        <v>0</v>
      </c>
      <c r="AL16" s="9">
        <v>11</v>
      </c>
      <c r="AM16" s="9">
        <v>39</v>
      </c>
      <c r="AN16" s="9">
        <f t="shared" si="16"/>
        <v>50</v>
      </c>
      <c r="AO16" s="9"/>
      <c r="AP16" s="9"/>
      <c r="AQ16" s="9">
        <f t="shared" si="17"/>
        <v>0</v>
      </c>
      <c r="AR16" s="9"/>
      <c r="AS16" s="9"/>
      <c r="AT16" s="9">
        <f t="shared" si="18"/>
        <v>0</v>
      </c>
      <c r="AU16" s="9"/>
      <c r="AV16" s="9"/>
      <c r="AW16" s="9">
        <f t="shared" si="19"/>
        <v>0</v>
      </c>
      <c r="AX16" s="9"/>
      <c r="AY16" s="9"/>
      <c r="AZ16" s="9">
        <f t="shared" si="20"/>
        <v>0</v>
      </c>
      <c r="BA16" s="9"/>
      <c r="BB16" s="9"/>
      <c r="BC16" s="9">
        <f t="shared" si="21"/>
        <v>0</v>
      </c>
      <c r="BD16" s="9"/>
      <c r="BE16" s="9"/>
      <c r="BF16" s="9">
        <f t="shared" si="22"/>
        <v>0</v>
      </c>
      <c r="BG16" s="9"/>
      <c r="BH16" s="9"/>
      <c r="BI16" s="9">
        <f t="shared" si="23"/>
        <v>0</v>
      </c>
      <c r="BJ16" s="9"/>
      <c r="BK16" s="9"/>
      <c r="BL16" s="9">
        <f t="shared" si="2"/>
        <v>0</v>
      </c>
      <c r="BM16" s="9"/>
      <c r="BN16" s="9"/>
      <c r="BO16" s="9">
        <f t="shared" si="24"/>
        <v>0</v>
      </c>
      <c r="BP16" s="9"/>
      <c r="BQ16" s="9"/>
      <c r="BR16" s="9">
        <f t="shared" si="25"/>
        <v>0</v>
      </c>
      <c r="BS16" s="9"/>
      <c r="BT16" s="9"/>
      <c r="BU16" s="9">
        <f t="shared" si="26"/>
        <v>0</v>
      </c>
      <c r="BV16" s="9">
        <v>17983</v>
      </c>
      <c r="BW16" s="9"/>
      <c r="BX16" s="9">
        <f t="shared" si="3"/>
        <v>17983</v>
      </c>
      <c r="BY16" s="9"/>
      <c r="BZ16" s="9"/>
      <c r="CA16" s="9">
        <f t="shared" si="27"/>
        <v>0</v>
      </c>
      <c r="CB16" s="9"/>
      <c r="CC16" s="9"/>
      <c r="CD16" s="9">
        <f t="shared" si="28"/>
        <v>0</v>
      </c>
      <c r="CE16" s="9">
        <v>8972</v>
      </c>
      <c r="CF16" s="9">
        <v>0</v>
      </c>
      <c r="CG16" s="9">
        <f t="shared" si="29"/>
        <v>8972</v>
      </c>
      <c r="CH16" s="9">
        <v>-1</v>
      </c>
      <c r="CI16" s="9">
        <v>6</v>
      </c>
      <c r="CJ16" s="9">
        <f t="shared" si="4"/>
        <v>5</v>
      </c>
      <c r="CK16" s="9"/>
      <c r="CL16" s="9"/>
      <c r="CM16" s="9">
        <f t="shared" si="30"/>
        <v>0</v>
      </c>
      <c r="CN16" s="9"/>
      <c r="CO16" s="9"/>
      <c r="CP16" s="9">
        <f t="shared" si="5"/>
        <v>0</v>
      </c>
    </row>
    <row r="17" spans="1:94" ht="15" customHeight="1" x14ac:dyDescent="0.25">
      <c r="A17" s="2" t="s">
        <v>163</v>
      </c>
      <c r="B17" s="9"/>
      <c r="C17" s="9"/>
      <c r="D17" s="9">
        <f t="shared" si="0"/>
        <v>0</v>
      </c>
      <c r="E17" s="9"/>
      <c r="F17" s="9"/>
      <c r="G17" s="9">
        <f t="shared" si="6"/>
        <v>0</v>
      </c>
      <c r="H17" s="9"/>
      <c r="I17" s="9"/>
      <c r="J17" s="9">
        <f t="shared" si="1"/>
        <v>0</v>
      </c>
      <c r="K17" s="9"/>
      <c r="L17" s="9"/>
      <c r="M17" s="9">
        <f t="shared" si="7"/>
        <v>0</v>
      </c>
      <c r="N17" s="9"/>
      <c r="O17" s="9"/>
      <c r="P17" s="9">
        <f t="shared" si="8"/>
        <v>0</v>
      </c>
      <c r="Q17" s="9"/>
      <c r="R17" s="9"/>
      <c r="S17" s="9">
        <f t="shared" si="9"/>
        <v>0</v>
      </c>
      <c r="T17" s="9"/>
      <c r="U17" s="9"/>
      <c r="V17" s="9">
        <f t="shared" si="10"/>
        <v>0</v>
      </c>
      <c r="W17" s="9"/>
      <c r="X17" s="9"/>
      <c r="Y17" s="9">
        <f t="shared" si="11"/>
        <v>0</v>
      </c>
      <c r="Z17" s="9"/>
      <c r="AA17" s="9">
        <v>1005</v>
      </c>
      <c r="AB17" s="9">
        <f t="shared" si="12"/>
        <v>1005</v>
      </c>
      <c r="AC17" s="9"/>
      <c r="AD17" s="9"/>
      <c r="AE17" s="9">
        <f t="shared" si="13"/>
        <v>0</v>
      </c>
      <c r="AF17" s="9"/>
      <c r="AG17" s="9"/>
      <c r="AH17" s="9">
        <f t="shared" si="14"/>
        <v>0</v>
      </c>
      <c r="AI17" s="9">
        <v>9459</v>
      </c>
      <c r="AJ17" s="9">
        <v>29846</v>
      </c>
      <c r="AK17" s="9">
        <f t="shared" si="15"/>
        <v>39305</v>
      </c>
      <c r="AL17" s="9"/>
      <c r="AM17" s="9"/>
      <c r="AN17" s="9">
        <f t="shared" si="16"/>
        <v>0</v>
      </c>
      <c r="AO17" s="9"/>
      <c r="AP17" s="9"/>
      <c r="AQ17" s="9">
        <f t="shared" si="17"/>
        <v>0</v>
      </c>
      <c r="AR17" s="9"/>
      <c r="AS17" s="9"/>
      <c r="AT17" s="9">
        <f t="shared" si="18"/>
        <v>0</v>
      </c>
      <c r="AU17" s="9"/>
      <c r="AV17" s="9"/>
      <c r="AW17" s="9">
        <f t="shared" si="19"/>
        <v>0</v>
      </c>
      <c r="AX17" s="9"/>
      <c r="AY17" s="9"/>
      <c r="AZ17" s="9">
        <f t="shared" si="20"/>
        <v>0</v>
      </c>
      <c r="BA17" s="9"/>
      <c r="BB17" s="9"/>
      <c r="BC17" s="9">
        <f t="shared" si="21"/>
        <v>0</v>
      </c>
      <c r="BD17" s="9">
        <v>0.35</v>
      </c>
      <c r="BE17" s="9">
        <v>19.61</v>
      </c>
      <c r="BF17" s="9">
        <f t="shared" si="22"/>
        <v>19.96</v>
      </c>
      <c r="BG17" s="9"/>
      <c r="BH17" s="9"/>
      <c r="BI17" s="9">
        <f t="shared" si="23"/>
        <v>0</v>
      </c>
      <c r="BJ17" s="9"/>
      <c r="BK17" s="9"/>
      <c r="BL17" s="9">
        <f t="shared" si="2"/>
        <v>0</v>
      </c>
      <c r="BM17" s="9"/>
      <c r="BN17" s="9"/>
      <c r="BO17" s="9">
        <f t="shared" si="24"/>
        <v>0</v>
      </c>
      <c r="BP17" s="9"/>
      <c r="BQ17" s="9"/>
      <c r="BR17" s="9">
        <f t="shared" si="25"/>
        <v>0</v>
      </c>
      <c r="BS17" s="9"/>
      <c r="BT17" s="9"/>
      <c r="BU17" s="9">
        <f t="shared" si="26"/>
        <v>0</v>
      </c>
      <c r="BV17" s="9"/>
      <c r="BW17" s="9"/>
      <c r="BX17" s="9">
        <f t="shared" si="3"/>
        <v>0</v>
      </c>
      <c r="BY17" s="9">
        <v>5002</v>
      </c>
      <c r="BZ17" s="9">
        <v>7067</v>
      </c>
      <c r="CA17" s="9">
        <f t="shared" si="27"/>
        <v>12069</v>
      </c>
      <c r="CB17" s="9">
        <v>3105</v>
      </c>
      <c r="CC17" s="9">
        <v>14431</v>
      </c>
      <c r="CD17" s="9">
        <f t="shared" si="28"/>
        <v>17536</v>
      </c>
      <c r="CE17" s="9">
        <v>0</v>
      </c>
      <c r="CF17" s="9">
        <v>0</v>
      </c>
      <c r="CG17" s="9">
        <f t="shared" si="29"/>
        <v>0</v>
      </c>
      <c r="CH17" s="9">
        <v>0</v>
      </c>
      <c r="CI17" s="9"/>
      <c r="CJ17" s="9">
        <f t="shared" si="4"/>
        <v>0</v>
      </c>
      <c r="CK17" s="9"/>
      <c r="CL17" s="9"/>
      <c r="CM17" s="9">
        <f t="shared" si="30"/>
        <v>0</v>
      </c>
      <c r="CN17" s="9"/>
      <c r="CO17" s="9"/>
      <c r="CP17" s="9">
        <f t="shared" si="5"/>
        <v>0</v>
      </c>
    </row>
    <row r="18" spans="1:94" ht="15" customHeight="1" x14ac:dyDescent="0.25">
      <c r="A18" s="2" t="s">
        <v>286</v>
      </c>
      <c r="B18" s="9">
        <v>25989</v>
      </c>
      <c r="C18" s="9">
        <v>27804</v>
      </c>
      <c r="D18" s="9">
        <f t="shared" si="0"/>
        <v>53793</v>
      </c>
      <c r="E18" s="9">
        <v>2554</v>
      </c>
      <c r="F18" s="9">
        <f>6016+6860</f>
        <v>12876</v>
      </c>
      <c r="G18" s="9">
        <f t="shared" si="6"/>
        <v>15430</v>
      </c>
      <c r="H18" s="9">
        <v>21515</v>
      </c>
      <c r="I18" s="9">
        <v>71362</v>
      </c>
      <c r="J18" s="9">
        <f t="shared" si="1"/>
        <v>92877</v>
      </c>
      <c r="K18" s="9">
        <v>49593</v>
      </c>
      <c r="L18" s="9">
        <v>195123</v>
      </c>
      <c r="M18" s="9">
        <f t="shared" si="7"/>
        <v>244716</v>
      </c>
      <c r="N18" s="9">
        <v>63653</v>
      </c>
      <c r="O18" s="9">
        <v>100242</v>
      </c>
      <c r="P18" s="9">
        <f t="shared" si="8"/>
        <v>163895</v>
      </c>
      <c r="Q18" s="9">
        <v>19221</v>
      </c>
      <c r="R18" s="9">
        <v>133135</v>
      </c>
      <c r="S18" s="9">
        <f t="shared" si="9"/>
        <v>152356</v>
      </c>
      <c r="T18" s="9">
        <v>21993</v>
      </c>
      <c r="U18" s="9">
        <v>83760</v>
      </c>
      <c r="V18" s="9">
        <f t="shared" si="10"/>
        <v>105753</v>
      </c>
      <c r="W18" s="9">
        <v>146976.04999999999</v>
      </c>
      <c r="X18" s="9">
        <v>146976.04999999999</v>
      </c>
      <c r="Y18" s="9">
        <f t="shared" si="11"/>
        <v>293952.09999999998</v>
      </c>
      <c r="Z18" s="9">
        <v>2629</v>
      </c>
      <c r="AA18" s="9">
        <v>11123</v>
      </c>
      <c r="AB18" s="9">
        <f t="shared" si="12"/>
        <v>13752</v>
      </c>
      <c r="AC18" s="9">
        <v>46220.58</v>
      </c>
      <c r="AD18" s="9">
        <v>142235.62</v>
      </c>
      <c r="AE18" s="9">
        <f t="shared" si="13"/>
        <v>188456.2</v>
      </c>
      <c r="AF18" s="9">
        <v>109977</v>
      </c>
      <c r="AG18" s="9">
        <v>427528</v>
      </c>
      <c r="AH18" s="9">
        <f t="shared" si="14"/>
        <v>537505</v>
      </c>
      <c r="AI18" s="9">
        <v>218722</v>
      </c>
      <c r="AJ18" s="9">
        <v>690115</v>
      </c>
      <c r="AK18" s="9">
        <f t="shared" si="15"/>
        <v>908837</v>
      </c>
      <c r="AL18" s="9">
        <v>91691</v>
      </c>
      <c r="AM18" s="9">
        <v>317284</v>
      </c>
      <c r="AN18" s="9">
        <f>AM18+AL18</f>
        <v>408975</v>
      </c>
      <c r="AO18" s="9">
        <v>6327</v>
      </c>
      <c r="AP18" s="9">
        <v>19761</v>
      </c>
      <c r="AQ18" s="9">
        <f t="shared" si="17"/>
        <v>26088</v>
      </c>
      <c r="AR18" s="9">
        <v>15322</v>
      </c>
      <c r="AS18" s="9">
        <v>48700</v>
      </c>
      <c r="AT18" s="9">
        <f t="shared" si="18"/>
        <v>64022</v>
      </c>
      <c r="AU18" s="9">
        <v>18301</v>
      </c>
      <c r="AV18" s="9">
        <v>109703</v>
      </c>
      <c r="AW18" s="9">
        <f t="shared" si="19"/>
        <v>128004</v>
      </c>
      <c r="AX18" s="9">
        <v>7841.91</v>
      </c>
      <c r="AY18" s="9">
        <v>20792.54</v>
      </c>
      <c r="AZ18" s="9">
        <f t="shared" si="20"/>
        <v>28634.45</v>
      </c>
      <c r="BA18" s="9">
        <v>20165</v>
      </c>
      <c r="BB18" s="9">
        <v>52427</v>
      </c>
      <c r="BC18" s="9">
        <f t="shared" si="21"/>
        <v>72592</v>
      </c>
      <c r="BD18" s="9">
        <v>3921.54</v>
      </c>
      <c r="BE18" s="9">
        <v>219706.34</v>
      </c>
      <c r="BF18" s="9">
        <f t="shared" si="22"/>
        <v>223627.88</v>
      </c>
      <c r="BG18" s="9">
        <v>4058</v>
      </c>
      <c r="BH18" s="9">
        <v>6048</v>
      </c>
      <c r="BI18" s="9">
        <f t="shared" si="23"/>
        <v>10106</v>
      </c>
      <c r="BJ18" s="9">
        <v>4621</v>
      </c>
      <c r="BK18" s="9">
        <v>15888</v>
      </c>
      <c r="BL18" s="9">
        <f t="shared" si="2"/>
        <v>20509</v>
      </c>
      <c r="BM18" s="9">
        <v>25503</v>
      </c>
      <c r="BN18" s="9">
        <v>122310</v>
      </c>
      <c r="BO18" s="9">
        <f t="shared" si="24"/>
        <v>147813</v>
      </c>
      <c r="BP18" s="9">
        <v>20056</v>
      </c>
      <c r="BQ18" s="9">
        <v>104441</v>
      </c>
      <c r="BR18" s="9">
        <f t="shared" si="25"/>
        <v>124497</v>
      </c>
      <c r="BS18" s="9">
        <v>79705</v>
      </c>
      <c r="BT18" s="9">
        <v>228855</v>
      </c>
      <c r="BU18" s="9">
        <f t="shared" si="26"/>
        <v>308560</v>
      </c>
      <c r="BV18" s="9">
        <v>11924</v>
      </c>
      <c r="BW18" s="9">
        <v>466201</v>
      </c>
      <c r="BX18" s="9">
        <f t="shared" si="3"/>
        <v>478125</v>
      </c>
      <c r="BY18" s="9">
        <v>67091</v>
      </c>
      <c r="BZ18" s="9">
        <v>94792</v>
      </c>
      <c r="CA18" s="9">
        <f t="shared" si="27"/>
        <v>161883</v>
      </c>
      <c r="CB18" s="9">
        <v>81076</v>
      </c>
      <c r="CC18" s="9">
        <v>376875</v>
      </c>
      <c r="CD18" s="9">
        <f t="shared" si="28"/>
        <v>457951</v>
      </c>
      <c r="CE18" s="9">
        <v>208086</v>
      </c>
      <c r="CF18" s="9">
        <v>512661</v>
      </c>
      <c r="CG18" s="9">
        <f t="shared" si="29"/>
        <v>720747</v>
      </c>
      <c r="CH18" s="9">
        <v>-73259</v>
      </c>
      <c r="CI18" s="9">
        <v>489503</v>
      </c>
      <c r="CJ18" s="9">
        <f t="shared" si="4"/>
        <v>416244</v>
      </c>
      <c r="CK18" s="9">
        <v>7218</v>
      </c>
      <c r="CL18" s="9">
        <v>543754</v>
      </c>
      <c r="CM18" s="9">
        <f t="shared" si="30"/>
        <v>550972</v>
      </c>
      <c r="CN18" s="9">
        <v>13038</v>
      </c>
      <c r="CO18" s="9">
        <v>46911</v>
      </c>
      <c r="CP18" s="9">
        <f t="shared" si="5"/>
        <v>59949</v>
      </c>
    </row>
    <row r="19" spans="1:94" ht="15" customHeight="1" x14ac:dyDescent="0.25">
      <c r="A19" s="2" t="s">
        <v>164</v>
      </c>
      <c r="B19" s="9"/>
      <c r="C19" s="9"/>
      <c r="D19" s="9">
        <f t="shared" si="0"/>
        <v>0</v>
      </c>
      <c r="E19" s="9"/>
      <c r="F19" s="9"/>
      <c r="G19" s="9">
        <f t="shared" si="6"/>
        <v>0</v>
      </c>
      <c r="H19" s="9">
        <v>444</v>
      </c>
      <c r="I19" s="9">
        <v>1473</v>
      </c>
      <c r="J19" s="9">
        <f t="shared" si="1"/>
        <v>1917</v>
      </c>
      <c r="K19" s="9"/>
      <c r="L19" s="9"/>
      <c r="M19" s="9">
        <f t="shared" si="7"/>
        <v>0</v>
      </c>
      <c r="N19" s="9">
        <v>1597</v>
      </c>
      <c r="O19" s="9"/>
      <c r="P19" s="9">
        <f t="shared" si="8"/>
        <v>1597</v>
      </c>
      <c r="Q19" s="9">
        <v>45</v>
      </c>
      <c r="R19" s="9">
        <v>309</v>
      </c>
      <c r="S19" s="9">
        <f t="shared" si="9"/>
        <v>354</v>
      </c>
      <c r="T19" s="9">
        <v>2229</v>
      </c>
      <c r="U19" s="9"/>
      <c r="V19" s="9">
        <f t="shared" si="10"/>
        <v>2229</v>
      </c>
      <c r="W19" s="9">
        <v>9010.19</v>
      </c>
      <c r="X19" s="9">
        <v>9010.19</v>
      </c>
      <c r="Y19" s="9">
        <f t="shared" si="11"/>
        <v>18020.38</v>
      </c>
      <c r="Z19" s="9">
        <v>3318</v>
      </c>
      <c r="AA19" s="9">
        <v>1399</v>
      </c>
      <c r="AB19" s="9">
        <f t="shared" si="12"/>
        <v>4717</v>
      </c>
      <c r="AC19" s="9">
        <f>-243+769.28</f>
        <v>526.28</v>
      </c>
      <c r="AD19" s="9">
        <f>-748+2367.32</f>
        <v>1619.3200000000002</v>
      </c>
      <c r="AE19" s="9">
        <f t="shared" si="13"/>
        <v>2145.6000000000004</v>
      </c>
      <c r="AF19" s="9"/>
      <c r="AG19" s="9"/>
      <c r="AH19" s="9">
        <f t="shared" si="14"/>
        <v>0</v>
      </c>
      <c r="AI19" s="9"/>
      <c r="AJ19" s="9"/>
      <c r="AK19" s="9">
        <f t="shared" si="15"/>
        <v>0</v>
      </c>
      <c r="AL19" s="9">
        <v>78</v>
      </c>
      <c r="AM19" s="9">
        <f>43+227</f>
        <v>270</v>
      </c>
      <c r="AN19" s="9">
        <f t="shared" si="16"/>
        <v>348</v>
      </c>
      <c r="AO19" s="9"/>
      <c r="AP19" s="9"/>
      <c r="AQ19" s="9">
        <f t="shared" ref="AQ19" si="31">AP19+AO19</f>
        <v>0</v>
      </c>
      <c r="AR19" s="9"/>
      <c r="AS19" s="9"/>
      <c r="AT19" s="9">
        <f t="shared" si="18"/>
        <v>0</v>
      </c>
      <c r="AU19" s="9">
        <v>1286</v>
      </c>
      <c r="AV19" s="9">
        <v>7711</v>
      </c>
      <c r="AW19" s="9">
        <f t="shared" si="19"/>
        <v>8997</v>
      </c>
      <c r="AX19" s="9"/>
      <c r="AY19" s="9"/>
      <c r="AZ19" s="9">
        <f t="shared" si="20"/>
        <v>0</v>
      </c>
      <c r="BA19" s="9">
        <v>11972</v>
      </c>
      <c r="BB19" s="9">
        <v>2012</v>
      </c>
      <c r="BC19" s="9">
        <f t="shared" si="21"/>
        <v>13984</v>
      </c>
      <c r="BD19" s="9"/>
      <c r="BE19" s="9"/>
      <c r="BF19" s="9">
        <f t="shared" si="22"/>
        <v>0</v>
      </c>
      <c r="BG19" s="9"/>
      <c r="BH19" s="9">
        <v>41</v>
      </c>
      <c r="BI19" s="9">
        <f t="shared" si="23"/>
        <v>41</v>
      </c>
      <c r="BJ19" s="9"/>
      <c r="BK19" s="9"/>
      <c r="BL19" s="9">
        <f t="shared" si="2"/>
        <v>0</v>
      </c>
      <c r="BM19" s="9">
        <f>3775-183</f>
        <v>3592</v>
      </c>
      <c r="BN19" s="9">
        <f>18106-878</f>
        <v>17228</v>
      </c>
      <c r="BO19" s="9">
        <f t="shared" si="24"/>
        <v>20820</v>
      </c>
      <c r="BP19" s="9">
        <v>2636</v>
      </c>
      <c r="BQ19" s="9">
        <v>13728</v>
      </c>
      <c r="BR19" s="9">
        <f t="shared" si="25"/>
        <v>16364</v>
      </c>
      <c r="BS19" s="9">
        <v>13654</v>
      </c>
      <c r="BT19" s="9">
        <v>6457</v>
      </c>
      <c r="BU19" s="9">
        <f t="shared" si="26"/>
        <v>20111</v>
      </c>
      <c r="BV19" s="9"/>
      <c r="BW19" s="9"/>
      <c r="BX19" s="9">
        <f t="shared" si="3"/>
        <v>0</v>
      </c>
      <c r="BY19" s="9">
        <v>14121</v>
      </c>
      <c r="BZ19" s="9">
        <v>19951</v>
      </c>
      <c r="CA19" s="9">
        <f t="shared" si="27"/>
        <v>34072</v>
      </c>
      <c r="CB19" s="9">
        <f>8230+16151+1185</f>
        <v>25566</v>
      </c>
      <c r="CC19" s="9">
        <f>38259+5509+75076</f>
        <v>118844</v>
      </c>
      <c r="CD19" s="9">
        <f t="shared" si="28"/>
        <v>144410</v>
      </c>
      <c r="CE19" s="9">
        <v>96604</v>
      </c>
      <c r="CF19" s="9">
        <v>231292</v>
      </c>
      <c r="CG19" s="9">
        <f t="shared" si="29"/>
        <v>327896</v>
      </c>
      <c r="CH19" s="9">
        <v>-23967</v>
      </c>
      <c r="CI19" s="9">
        <v>160144</v>
      </c>
      <c r="CJ19" s="9">
        <f t="shared" si="4"/>
        <v>136177</v>
      </c>
      <c r="CK19" s="9">
        <v>2057</v>
      </c>
      <c r="CL19" s="9">
        <v>154931</v>
      </c>
      <c r="CM19" s="9">
        <f t="shared" si="30"/>
        <v>156988</v>
      </c>
      <c r="CN19" s="9">
        <f>183+228</f>
        <v>411</v>
      </c>
      <c r="CO19" s="9">
        <f>659+819</f>
        <v>1478</v>
      </c>
      <c r="CP19" s="9">
        <f t="shared" si="5"/>
        <v>1889</v>
      </c>
    </row>
    <row r="20" spans="1:94" s="7" customFormat="1" ht="15" customHeight="1" x14ac:dyDescent="0.25">
      <c r="A20" s="3" t="s">
        <v>165</v>
      </c>
      <c r="B20" s="10">
        <f t="shared" ref="B20:AG20" si="32">SUM(B6:B19)</f>
        <v>87494</v>
      </c>
      <c r="C20" s="10">
        <f t="shared" si="32"/>
        <v>93603</v>
      </c>
      <c r="D20" s="10">
        <f t="shared" si="32"/>
        <v>181097</v>
      </c>
      <c r="E20" s="10">
        <f t="shared" si="32"/>
        <v>74380</v>
      </c>
      <c r="F20" s="10">
        <f t="shared" si="32"/>
        <v>170703</v>
      </c>
      <c r="G20" s="10">
        <f t="shared" si="32"/>
        <v>245083</v>
      </c>
      <c r="H20" s="10">
        <f t="shared" si="32"/>
        <v>239171</v>
      </c>
      <c r="I20" s="10">
        <f t="shared" si="32"/>
        <v>793312</v>
      </c>
      <c r="J20" s="10">
        <f t="shared" si="32"/>
        <v>1032483</v>
      </c>
      <c r="K20" s="10">
        <f t="shared" si="32"/>
        <v>619387</v>
      </c>
      <c r="L20" s="10">
        <f t="shared" si="32"/>
        <v>1696677</v>
      </c>
      <c r="M20" s="10">
        <f t="shared" si="32"/>
        <v>2316064</v>
      </c>
      <c r="N20" s="10">
        <f t="shared" si="32"/>
        <v>158286</v>
      </c>
      <c r="O20" s="10">
        <f t="shared" si="32"/>
        <v>256380</v>
      </c>
      <c r="P20" s="10">
        <f t="shared" si="32"/>
        <v>414666</v>
      </c>
      <c r="Q20" s="10">
        <f t="shared" si="32"/>
        <v>164614</v>
      </c>
      <c r="R20" s="10">
        <f t="shared" si="32"/>
        <v>1140193</v>
      </c>
      <c r="S20" s="10">
        <f t="shared" si="32"/>
        <v>1304807</v>
      </c>
      <c r="T20" s="10">
        <f t="shared" si="32"/>
        <v>135095</v>
      </c>
      <c r="U20" s="10">
        <f t="shared" si="32"/>
        <v>875896</v>
      </c>
      <c r="V20" s="10">
        <f t="shared" si="32"/>
        <v>1010991</v>
      </c>
      <c r="W20" s="10">
        <f t="shared" si="32"/>
        <v>673391.27999999991</v>
      </c>
      <c r="X20" s="10">
        <f t="shared" si="32"/>
        <v>673391.27999999991</v>
      </c>
      <c r="Y20" s="10">
        <f t="shared" si="32"/>
        <v>1346782.5599999998</v>
      </c>
      <c r="Z20" s="10">
        <f t="shared" si="32"/>
        <v>8192</v>
      </c>
      <c r="AA20" s="10">
        <f t="shared" si="32"/>
        <v>34073</v>
      </c>
      <c r="AB20" s="10">
        <f t="shared" si="32"/>
        <v>42265</v>
      </c>
      <c r="AC20" s="10">
        <f t="shared" si="32"/>
        <v>145290.41</v>
      </c>
      <c r="AD20" s="10">
        <f t="shared" si="32"/>
        <v>447104.77999999997</v>
      </c>
      <c r="AE20" s="10">
        <f t="shared" si="32"/>
        <v>592395.19000000006</v>
      </c>
      <c r="AF20" s="10">
        <f t="shared" si="32"/>
        <v>374383</v>
      </c>
      <c r="AG20" s="10">
        <f t="shared" si="32"/>
        <v>1455388</v>
      </c>
      <c r="AH20" s="10">
        <f t="shared" ref="AH20:BM20" si="33">SUM(AH6:AH19)</f>
        <v>1829771</v>
      </c>
      <c r="AI20" s="10">
        <f t="shared" si="33"/>
        <v>875543</v>
      </c>
      <c r="AJ20" s="10">
        <f t="shared" si="33"/>
        <v>2911256</v>
      </c>
      <c r="AK20" s="10">
        <f t="shared" si="33"/>
        <v>3786799</v>
      </c>
      <c r="AL20" s="10">
        <f t="shared" si="33"/>
        <v>292845</v>
      </c>
      <c r="AM20" s="10">
        <f t="shared" si="33"/>
        <v>1013350</v>
      </c>
      <c r="AN20" s="10">
        <f t="shared" si="33"/>
        <v>1306195</v>
      </c>
      <c r="AO20" s="10">
        <f t="shared" si="33"/>
        <v>34918</v>
      </c>
      <c r="AP20" s="10">
        <f t="shared" si="33"/>
        <v>112899</v>
      </c>
      <c r="AQ20" s="10">
        <f t="shared" si="33"/>
        <v>147817</v>
      </c>
      <c r="AR20" s="10">
        <f t="shared" si="33"/>
        <v>79037</v>
      </c>
      <c r="AS20" s="10">
        <f t="shared" si="33"/>
        <v>251208</v>
      </c>
      <c r="AT20" s="10">
        <f t="shared" si="33"/>
        <v>330245</v>
      </c>
      <c r="AU20" s="10">
        <f t="shared" si="33"/>
        <v>67769</v>
      </c>
      <c r="AV20" s="10">
        <f t="shared" si="33"/>
        <v>406229</v>
      </c>
      <c r="AW20" s="10">
        <f t="shared" si="33"/>
        <v>473998</v>
      </c>
      <c r="AX20" s="10">
        <f t="shared" si="33"/>
        <v>36382.19</v>
      </c>
      <c r="AY20" s="10">
        <f t="shared" si="33"/>
        <v>71150.67</v>
      </c>
      <c r="AZ20" s="10">
        <f t="shared" si="33"/>
        <v>107532.86</v>
      </c>
      <c r="BA20" s="10">
        <f t="shared" si="33"/>
        <v>85092</v>
      </c>
      <c r="BB20" s="10">
        <f t="shared" si="33"/>
        <v>198439</v>
      </c>
      <c r="BC20" s="10">
        <f t="shared" si="33"/>
        <v>283531</v>
      </c>
      <c r="BD20" s="10">
        <f t="shared" si="33"/>
        <v>49641.97</v>
      </c>
      <c r="BE20" s="10">
        <f t="shared" si="33"/>
        <v>2781217.7799999993</v>
      </c>
      <c r="BF20" s="10">
        <f t="shared" si="33"/>
        <v>2830859.75</v>
      </c>
      <c r="BG20" s="10">
        <f t="shared" si="33"/>
        <v>4556</v>
      </c>
      <c r="BH20" s="10">
        <f t="shared" si="33"/>
        <v>22552</v>
      </c>
      <c r="BI20" s="10">
        <f t="shared" si="33"/>
        <v>27108</v>
      </c>
      <c r="BJ20" s="10">
        <f t="shared" si="33"/>
        <v>18289</v>
      </c>
      <c r="BK20" s="10">
        <f t="shared" si="33"/>
        <v>62885</v>
      </c>
      <c r="BL20" s="10">
        <f t="shared" si="33"/>
        <v>81174</v>
      </c>
      <c r="BM20" s="10">
        <f t="shared" si="33"/>
        <v>251653</v>
      </c>
      <c r="BN20" s="10">
        <f t="shared" ref="BN20:CP20" si="34">SUM(BN6:BN19)</f>
        <v>1206919</v>
      </c>
      <c r="BO20" s="10">
        <f t="shared" si="34"/>
        <v>1458572</v>
      </c>
      <c r="BP20" s="10">
        <f t="shared" si="34"/>
        <v>98162</v>
      </c>
      <c r="BQ20" s="10">
        <f t="shared" si="34"/>
        <v>511179</v>
      </c>
      <c r="BR20" s="10">
        <f t="shared" si="34"/>
        <v>609341</v>
      </c>
      <c r="BS20" s="10">
        <f t="shared" si="34"/>
        <v>235209</v>
      </c>
      <c r="BT20" s="10">
        <f t="shared" si="34"/>
        <v>810208</v>
      </c>
      <c r="BU20" s="10">
        <f t="shared" si="34"/>
        <v>1045417</v>
      </c>
      <c r="BV20" s="10">
        <f t="shared" si="34"/>
        <v>132139</v>
      </c>
      <c r="BW20" s="10">
        <f t="shared" si="34"/>
        <v>956829</v>
      </c>
      <c r="BX20" s="10">
        <f t="shared" si="34"/>
        <v>1088968</v>
      </c>
      <c r="BY20" s="10">
        <f t="shared" si="34"/>
        <v>428689</v>
      </c>
      <c r="BZ20" s="10">
        <f t="shared" si="34"/>
        <v>605687</v>
      </c>
      <c r="CA20" s="10">
        <f t="shared" si="34"/>
        <v>1034376</v>
      </c>
      <c r="CB20" s="10">
        <f t="shared" si="34"/>
        <v>370763</v>
      </c>
      <c r="CC20" s="10">
        <f t="shared" si="34"/>
        <v>1723455</v>
      </c>
      <c r="CD20" s="10">
        <f t="shared" si="34"/>
        <v>2094218</v>
      </c>
      <c r="CE20" s="10">
        <f t="shared" si="34"/>
        <v>1981490</v>
      </c>
      <c r="CF20" s="10">
        <f t="shared" si="34"/>
        <v>4659160</v>
      </c>
      <c r="CG20" s="10">
        <f t="shared" si="34"/>
        <v>6640650</v>
      </c>
      <c r="CH20" s="10">
        <f t="shared" si="34"/>
        <v>-469557</v>
      </c>
      <c r="CI20" s="10">
        <f t="shared" si="34"/>
        <v>3137499</v>
      </c>
      <c r="CJ20" s="10">
        <f t="shared" si="34"/>
        <v>2667942</v>
      </c>
      <c r="CK20" s="10">
        <f t="shared" si="34"/>
        <v>43986</v>
      </c>
      <c r="CL20" s="10">
        <f t="shared" si="34"/>
        <v>3313675</v>
      </c>
      <c r="CM20" s="10">
        <f t="shared" si="34"/>
        <v>3357661</v>
      </c>
      <c r="CN20" s="10">
        <f t="shared" si="34"/>
        <v>66817</v>
      </c>
      <c r="CO20" s="10">
        <f t="shared" si="34"/>
        <v>240403</v>
      </c>
      <c r="CP20" s="10">
        <f t="shared" si="34"/>
        <v>307220</v>
      </c>
    </row>
    <row r="21" spans="1:94" ht="15" customHeight="1" x14ac:dyDescent="0.25">
      <c r="A21" s="3" t="s">
        <v>166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</row>
    <row r="22" spans="1:94" ht="30" x14ac:dyDescent="0.25">
      <c r="A22" s="2" t="s">
        <v>155</v>
      </c>
      <c r="B22" s="9">
        <v>1698</v>
      </c>
      <c r="C22" s="9">
        <v>1816</v>
      </c>
      <c r="D22" s="9">
        <f t="shared" ref="D22:D35" si="35">B22+C22</f>
        <v>3514</v>
      </c>
      <c r="E22" s="9"/>
      <c r="F22" s="9"/>
      <c r="G22" s="9">
        <f t="shared" ref="G22:G35" si="36">F22+E22</f>
        <v>0</v>
      </c>
      <c r="H22" s="9">
        <v>14001</v>
      </c>
      <c r="I22" s="9">
        <v>46440</v>
      </c>
      <c r="J22" s="9">
        <f t="shared" ref="J22:J35" si="37">I22+H22</f>
        <v>60441</v>
      </c>
      <c r="K22" s="9"/>
      <c r="L22" s="9">
        <v>5150</v>
      </c>
      <c r="M22" s="9">
        <f t="shared" ref="M22:M35" si="38">L22+K22</f>
        <v>5150</v>
      </c>
      <c r="N22" s="9"/>
      <c r="O22" s="9">
        <v>4511</v>
      </c>
      <c r="P22" s="9">
        <f t="shared" ref="P22:P35" si="39">O22+N22</f>
        <v>4511</v>
      </c>
      <c r="Q22" s="9">
        <v>202</v>
      </c>
      <c r="R22" s="9">
        <v>1396</v>
      </c>
      <c r="S22" s="9">
        <f t="shared" ref="S22:S35" si="40">R22+Q22</f>
        <v>1598</v>
      </c>
      <c r="T22" s="9"/>
      <c r="U22" s="9">
        <v>4159</v>
      </c>
      <c r="V22" s="9">
        <f t="shared" ref="V22:V35" si="41">U22+T22</f>
        <v>4159</v>
      </c>
      <c r="W22" s="9">
        <v>10971.87</v>
      </c>
      <c r="X22" s="9">
        <v>10971.87</v>
      </c>
      <c r="Y22" s="9">
        <f t="shared" ref="Y22:Y35" si="42">X22+W22</f>
        <v>21943.74</v>
      </c>
      <c r="Z22" s="9"/>
      <c r="AA22" s="9">
        <v>9</v>
      </c>
      <c r="AB22" s="9">
        <f t="shared" ref="AB22:AB35" si="43">AA22+Z22</f>
        <v>9</v>
      </c>
      <c r="AC22" s="9">
        <v>171.65</v>
      </c>
      <c r="AD22" s="9">
        <v>528.21</v>
      </c>
      <c r="AE22" s="9">
        <f t="shared" ref="AE22:AE35" si="44">AD22+AC22</f>
        <v>699.86</v>
      </c>
      <c r="AF22" s="9">
        <v>451</v>
      </c>
      <c r="AG22" s="9">
        <v>1754</v>
      </c>
      <c r="AH22" s="9">
        <f t="shared" ref="AH22:AH35" si="45">AG22+AF22</f>
        <v>2205</v>
      </c>
      <c r="AI22" s="9">
        <v>17546</v>
      </c>
      <c r="AJ22" s="9">
        <v>55360</v>
      </c>
      <c r="AK22" s="9">
        <f t="shared" ref="AK22:AK35" si="46">AJ22+AI22</f>
        <v>72906</v>
      </c>
      <c r="AL22" s="9">
        <v>2610</v>
      </c>
      <c r="AM22" s="9">
        <v>9033</v>
      </c>
      <c r="AN22" s="9">
        <f t="shared" ref="AN22:AN35" si="47">AM22+AL22</f>
        <v>11643</v>
      </c>
      <c r="AO22" s="9"/>
      <c r="AP22" s="9"/>
      <c r="AQ22" s="9">
        <f t="shared" ref="AQ22:AQ35" si="48">AP22+AO22</f>
        <v>0</v>
      </c>
      <c r="AR22" s="9">
        <v>1932</v>
      </c>
      <c r="AS22" s="9">
        <v>6139</v>
      </c>
      <c r="AT22" s="9">
        <f t="shared" ref="AT22:AT35" si="49">AS22+AR22</f>
        <v>8071</v>
      </c>
      <c r="AU22" s="9"/>
      <c r="AV22" s="9"/>
      <c r="AW22" s="9">
        <f t="shared" ref="AW22:AW35" si="50">AV22+AU22</f>
        <v>0</v>
      </c>
      <c r="AX22" s="9">
        <v>1012.67</v>
      </c>
      <c r="AY22" s="9">
        <v>3504.86</v>
      </c>
      <c r="AZ22" s="9">
        <f t="shared" ref="AZ22:AZ35" si="51">AY22+AX22</f>
        <v>4517.53</v>
      </c>
      <c r="BA22" s="9">
        <v>5052</v>
      </c>
      <c r="BB22" s="9">
        <v>985</v>
      </c>
      <c r="BC22" s="9">
        <f t="shared" ref="BC22:BC35" si="52">BB22+BA22</f>
        <v>6037</v>
      </c>
      <c r="BD22" s="9">
        <v>2428.33</v>
      </c>
      <c r="BE22" s="9">
        <v>136048.29</v>
      </c>
      <c r="BF22" s="9">
        <f t="shared" ref="BF22:BF35" si="53">BE22+BD22</f>
        <v>138476.62</v>
      </c>
      <c r="BG22" s="9">
        <v>2955</v>
      </c>
      <c r="BH22" s="9">
        <v>13607</v>
      </c>
      <c r="BI22" s="9">
        <f t="shared" ref="BI22:BI35" si="54">BH22+BG22</f>
        <v>16562</v>
      </c>
      <c r="BJ22" s="9">
        <v>783</v>
      </c>
      <c r="BK22" s="9">
        <v>2691</v>
      </c>
      <c r="BL22" s="9">
        <f t="shared" ref="BL22" si="55">BK22+BJ22</f>
        <v>3474</v>
      </c>
      <c r="BM22" s="9"/>
      <c r="BN22" s="9"/>
      <c r="BO22" s="9">
        <f t="shared" ref="BO22:BO35" si="56">BN22+BM22</f>
        <v>0</v>
      </c>
      <c r="BP22" s="9">
        <v>1799</v>
      </c>
      <c r="BQ22" s="9">
        <v>9370</v>
      </c>
      <c r="BR22" s="9">
        <f t="shared" ref="BR22:BR35" si="57">BQ22+BP22</f>
        <v>11169</v>
      </c>
      <c r="BS22" s="9">
        <v>359</v>
      </c>
      <c r="BT22" s="9">
        <v>96</v>
      </c>
      <c r="BU22" s="9">
        <f t="shared" ref="BU22:BU35" si="58">BT22+BS22</f>
        <v>455</v>
      </c>
      <c r="BV22" s="9"/>
      <c r="BW22" s="9">
        <v>3858</v>
      </c>
      <c r="BX22" s="9">
        <f t="shared" ref="BX22:BX23" si="59">BW22+BV22</f>
        <v>3858</v>
      </c>
      <c r="BY22" s="9">
        <v>9328</v>
      </c>
      <c r="BZ22" s="9">
        <v>13180</v>
      </c>
      <c r="CA22" s="9">
        <f t="shared" ref="CA22:CA35" si="60">BZ22+BY22</f>
        <v>22508</v>
      </c>
      <c r="CB22" s="9"/>
      <c r="CC22" s="9"/>
      <c r="CD22" s="9">
        <f t="shared" ref="CD22:CD35" si="61">CC22+CB22</f>
        <v>0</v>
      </c>
      <c r="CE22" s="9">
        <v>146998</v>
      </c>
      <c r="CF22" s="9">
        <v>362158</v>
      </c>
      <c r="CG22" s="9">
        <f t="shared" ref="CG22:CG35" si="62">CF22+CE22</f>
        <v>509156</v>
      </c>
      <c r="CH22" s="9">
        <v>-11243</v>
      </c>
      <c r="CI22" s="9">
        <v>75123</v>
      </c>
      <c r="CJ22" s="9">
        <f t="shared" ref="CJ22:CJ35" si="63">CI22+CH22</f>
        <v>63880</v>
      </c>
      <c r="CK22" s="9">
        <v>740</v>
      </c>
      <c r="CL22" s="9">
        <v>55781</v>
      </c>
      <c r="CM22" s="9">
        <f t="shared" ref="CM22:CM35" si="64">CL22+CK22</f>
        <v>56521</v>
      </c>
      <c r="CN22" s="9">
        <v>4619</v>
      </c>
      <c r="CO22" s="9">
        <v>16619</v>
      </c>
      <c r="CP22" s="9">
        <f t="shared" ref="CP22" si="65">CO22+CN22</f>
        <v>21238</v>
      </c>
    </row>
    <row r="23" spans="1:94" ht="15" customHeight="1" x14ac:dyDescent="0.25">
      <c r="A23" s="2" t="s">
        <v>156</v>
      </c>
      <c r="B23" s="9"/>
      <c r="C23" s="9"/>
      <c r="D23" s="9">
        <f t="shared" si="35"/>
        <v>0</v>
      </c>
      <c r="E23" s="9">
        <v>502</v>
      </c>
      <c r="F23" s="9">
        <v>1536</v>
      </c>
      <c r="G23" s="9">
        <f t="shared" si="36"/>
        <v>2038</v>
      </c>
      <c r="H23" s="9">
        <v>7508</v>
      </c>
      <c r="I23" s="9">
        <v>24905</v>
      </c>
      <c r="J23" s="9">
        <f t="shared" si="37"/>
        <v>32413</v>
      </c>
      <c r="K23" s="9"/>
      <c r="L23" s="9"/>
      <c r="M23" s="9">
        <f t="shared" si="38"/>
        <v>0</v>
      </c>
      <c r="N23" s="9"/>
      <c r="O23" s="9">
        <v>478</v>
      </c>
      <c r="P23" s="9">
        <f t="shared" si="39"/>
        <v>478</v>
      </c>
      <c r="Q23" s="9"/>
      <c r="R23" s="9"/>
      <c r="S23" s="9">
        <f t="shared" si="40"/>
        <v>0</v>
      </c>
      <c r="T23" s="9"/>
      <c r="U23" s="9"/>
      <c r="V23" s="9">
        <f t="shared" si="41"/>
        <v>0</v>
      </c>
      <c r="W23" s="9">
        <v>500.73</v>
      </c>
      <c r="X23" s="9">
        <v>500.73</v>
      </c>
      <c r="Y23" s="9">
        <f t="shared" si="42"/>
        <v>1001.46</v>
      </c>
      <c r="Z23" s="9">
        <v>151</v>
      </c>
      <c r="AA23" s="9">
        <v>556</v>
      </c>
      <c r="AB23" s="9">
        <f t="shared" si="43"/>
        <v>707</v>
      </c>
      <c r="AC23" s="9"/>
      <c r="AD23" s="9"/>
      <c r="AE23" s="9">
        <f t="shared" si="44"/>
        <v>0</v>
      </c>
      <c r="AF23" s="9">
        <v>1526</v>
      </c>
      <c r="AG23" s="9">
        <v>5931</v>
      </c>
      <c r="AH23" s="9">
        <f t="shared" si="45"/>
        <v>7457</v>
      </c>
      <c r="AI23" s="9">
        <v>29322</v>
      </c>
      <c r="AJ23" s="9">
        <v>92517</v>
      </c>
      <c r="AK23" s="9">
        <f t="shared" si="46"/>
        <v>121839</v>
      </c>
      <c r="AL23" s="9">
        <v>15478</v>
      </c>
      <c r="AM23" s="9">
        <v>53561</v>
      </c>
      <c r="AN23" s="9">
        <f t="shared" si="47"/>
        <v>69039</v>
      </c>
      <c r="AO23" s="9"/>
      <c r="AP23" s="9"/>
      <c r="AQ23" s="9">
        <f t="shared" si="48"/>
        <v>0</v>
      </c>
      <c r="AR23" s="9">
        <v>841</v>
      </c>
      <c r="AS23" s="9">
        <v>2674</v>
      </c>
      <c r="AT23" s="9">
        <f t="shared" si="49"/>
        <v>3515</v>
      </c>
      <c r="AU23" s="9"/>
      <c r="AV23" s="9"/>
      <c r="AW23" s="9">
        <f t="shared" si="50"/>
        <v>0</v>
      </c>
      <c r="AX23" s="9"/>
      <c r="AY23" s="9"/>
      <c r="AZ23" s="9">
        <f t="shared" si="51"/>
        <v>0</v>
      </c>
      <c r="BA23" s="9">
        <v>1503</v>
      </c>
      <c r="BB23" s="9"/>
      <c r="BC23" s="9">
        <f t="shared" si="52"/>
        <v>1503</v>
      </c>
      <c r="BD23" s="9"/>
      <c r="BE23" s="9"/>
      <c r="BF23" s="9">
        <f t="shared" si="53"/>
        <v>0</v>
      </c>
      <c r="BG23" s="9"/>
      <c r="BH23" s="9"/>
      <c r="BI23" s="9">
        <f t="shared" si="54"/>
        <v>0</v>
      </c>
      <c r="BJ23" s="9"/>
      <c r="BK23" s="9"/>
      <c r="BL23" s="9">
        <f t="shared" ref="BL23:BL35" si="66">BK23+BJ23</f>
        <v>0</v>
      </c>
      <c r="BM23" s="9"/>
      <c r="BN23" s="9"/>
      <c r="BO23" s="9">
        <f t="shared" si="56"/>
        <v>0</v>
      </c>
      <c r="BP23" s="9"/>
      <c r="BQ23" s="9"/>
      <c r="BR23" s="9">
        <f t="shared" si="57"/>
        <v>0</v>
      </c>
      <c r="BS23" s="9"/>
      <c r="BT23" s="9">
        <v>6952</v>
      </c>
      <c r="BU23" s="9">
        <f t="shared" si="58"/>
        <v>6952</v>
      </c>
      <c r="BV23" s="9"/>
      <c r="BW23" s="9">
        <v>1076</v>
      </c>
      <c r="BX23" s="9">
        <f t="shared" si="59"/>
        <v>1076</v>
      </c>
      <c r="BY23" s="9">
        <v>8732</v>
      </c>
      <c r="BZ23" s="9">
        <v>12337</v>
      </c>
      <c r="CA23" s="9">
        <f t="shared" si="60"/>
        <v>21069</v>
      </c>
      <c r="CB23" s="9"/>
      <c r="CC23" s="9"/>
      <c r="CD23" s="9">
        <f t="shared" si="61"/>
        <v>0</v>
      </c>
      <c r="CE23" s="9"/>
      <c r="CF23" s="9"/>
      <c r="CG23" s="9">
        <f t="shared" si="62"/>
        <v>0</v>
      </c>
      <c r="CH23" s="9"/>
      <c r="CI23" s="9"/>
      <c r="CJ23" s="9">
        <f t="shared" si="63"/>
        <v>0</v>
      </c>
      <c r="CK23" s="9"/>
      <c r="CL23" s="9"/>
      <c r="CM23" s="9"/>
      <c r="CN23" s="9">
        <v>4716</v>
      </c>
      <c r="CO23" s="9">
        <v>16967</v>
      </c>
      <c r="CP23" s="9">
        <f t="shared" ref="CP23:CP35" si="67">CO23+CN23</f>
        <v>21683</v>
      </c>
    </row>
    <row r="24" spans="1:94" ht="15" customHeight="1" x14ac:dyDescent="0.25">
      <c r="A24" s="2" t="s">
        <v>157</v>
      </c>
      <c r="B24" s="9"/>
      <c r="C24" s="9"/>
      <c r="D24" s="9">
        <f t="shared" si="35"/>
        <v>0</v>
      </c>
      <c r="E24" s="9"/>
      <c r="F24" s="9"/>
      <c r="G24" s="9">
        <f t="shared" si="36"/>
        <v>0</v>
      </c>
      <c r="H24" s="9"/>
      <c r="I24" s="9"/>
      <c r="J24" s="9">
        <f t="shared" si="37"/>
        <v>0</v>
      </c>
      <c r="K24" s="9"/>
      <c r="L24" s="9"/>
      <c r="M24" s="9">
        <f t="shared" si="38"/>
        <v>0</v>
      </c>
      <c r="N24" s="9"/>
      <c r="O24" s="9"/>
      <c r="P24" s="9">
        <f t="shared" si="39"/>
        <v>0</v>
      </c>
      <c r="Q24" s="9"/>
      <c r="R24" s="9"/>
      <c r="S24" s="9">
        <f t="shared" si="40"/>
        <v>0</v>
      </c>
      <c r="T24" s="9"/>
      <c r="U24" s="9"/>
      <c r="V24" s="9">
        <f t="shared" si="41"/>
        <v>0</v>
      </c>
      <c r="W24" s="9"/>
      <c r="X24" s="9"/>
      <c r="Y24" s="9">
        <f t="shared" si="42"/>
        <v>0</v>
      </c>
      <c r="Z24" s="9"/>
      <c r="AA24" s="9"/>
      <c r="AB24" s="9">
        <f t="shared" si="43"/>
        <v>0</v>
      </c>
      <c r="AC24" s="9"/>
      <c r="AD24" s="9"/>
      <c r="AE24" s="9">
        <f t="shared" si="44"/>
        <v>0</v>
      </c>
      <c r="AF24" s="9"/>
      <c r="AG24" s="9"/>
      <c r="AH24" s="9">
        <f t="shared" si="45"/>
        <v>0</v>
      </c>
      <c r="AI24" s="9"/>
      <c r="AJ24" s="9"/>
      <c r="AK24" s="9">
        <f t="shared" si="46"/>
        <v>0</v>
      </c>
      <c r="AL24" s="9"/>
      <c r="AM24" s="9"/>
      <c r="AN24" s="9">
        <f t="shared" si="47"/>
        <v>0</v>
      </c>
      <c r="AO24" s="9"/>
      <c r="AP24" s="9"/>
      <c r="AQ24" s="9">
        <f t="shared" si="48"/>
        <v>0</v>
      </c>
      <c r="AR24" s="9"/>
      <c r="AS24" s="9"/>
      <c r="AT24" s="9">
        <f t="shared" si="49"/>
        <v>0</v>
      </c>
      <c r="AU24" s="9"/>
      <c r="AV24" s="9"/>
      <c r="AW24" s="9">
        <f t="shared" si="50"/>
        <v>0</v>
      </c>
      <c r="AX24" s="9"/>
      <c r="AY24" s="9"/>
      <c r="AZ24" s="9">
        <f t="shared" si="51"/>
        <v>0</v>
      </c>
      <c r="BA24" s="9"/>
      <c r="BB24" s="9"/>
      <c r="BC24" s="9">
        <f t="shared" si="52"/>
        <v>0</v>
      </c>
      <c r="BD24" s="9"/>
      <c r="BE24" s="9"/>
      <c r="BF24" s="9">
        <f t="shared" si="53"/>
        <v>0</v>
      </c>
      <c r="BG24" s="9"/>
      <c r="BH24" s="9"/>
      <c r="BI24" s="9">
        <f t="shared" si="54"/>
        <v>0</v>
      </c>
      <c r="BJ24" s="9"/>
      <c r="BK24" s="9"/>
      <c r="BL24" s="9">
        <f t="shared" si="66"/>
        <v>0</v>
      </c>
      <c r="BM24" s="9"/>
      <c r="BN24" s="9"/>
      <c r="BO24" s="9">
        <f t="shared" si="56"/>
        <v>0</v>
      </c>
      <c r="BP24" s="9"/>
      <c r="BQ24" s="9"/>
      <c r="BR24" s="9">
        <f t="shared" si="57"/>
        <v>0</v>
      </c>
      <c r="BS24" s="9"/>
      <c r="BT24" s="9"/>
      <c r="BU24" s="9">
        <f t="shared" si="58"/>
        <v>0</v>
      </c>
      <c r="BV24" s="9"/>
      <c r="BW24" s="9"/>
      <c r="BX24" s="9">
        <f t="shared" ref="BX24:BX34" si="68">BW24+BV24</f>
        <v>0</v>
      </c>
      <c r="BY24" s="9"/>
      <c r="BZ24" s="9"/>
      <c r="CA24" s="9">
        <f t="shared" si="60"/>
        <v>0</v>
      </c>
      <c r="CB24" s="9"/>
      <c r="CC24" s="9"/>
      <c r="CD24" s="9">
        <f t="shared" si="61"/>
        <v>0</v>
      </c>
      <c r="CE24" s="9"/>
      <c r="CF24" s="9"/>
      <c r="CG24" s="9">
        <f t="shared" si="62"/>
        <v>0</v>
      </c>
      <c r="CH24" s="9"/>
      <c r="CI24" s="9"/>
      <c r="CJ24" s="9">
        <f t="shared" si="63"/>
        <v>0</v>
      </c>
      <c r="CK24" s="9"/>
      <c r="CL24" s="9"/>
      <c r="CM24" s="9">
        <f t="shared" si="64"/>
        <v>0</v>
      </c>
      <c r="CN24" s="9"/>
      <c r="CO24" s="9"/>
      <c r="CP24" s="9">
        <f t="shared" si="67"/>
        <v>0</v>
      </c>
    </row>
    <row r="25" spans="1:94" ht="15" customHeight="1" x14ac:dyDescent="0.25">
      <c r="A25" s="2" t="s">
        <v>158</v>
      </c>
      <c r="B25" s="9"/>
      <c r="C25" s="9"/>
      <c r="D25" s="9">
        <f t="shared" si="35"/>
        <v>0</v>
      </c>
      <c r="E25" s="9"/>
      <c r="F25" s="9"/>
      <c r="G25" s="9">
        <f t="shared" si="36"/>
        <v>0</v>
      </c>
      <c r="H25" s="9"/>
      <c r="I25" s="9"/>
      <c r="J25" s="9">
        <f t="shared" si="37"/>
        <v>0</v>
      </c>
      <c r="K25" s="9"/>
      <c r="L25" s="9"/>
      <c r="M25" s="9">
        <f t="shared" si="38"/>
        <v>0</v>
      </c>
      <c r="N25" s="9"/>
      <c r="O25" s="9"/>
      <c r="P25" s="9">
        <f t="shared" si="39"/>
        <v>0</v>
      </c>
      <c r="Q25" s="9"/>
      <c r="R25" s="9"/>
      <c r="S25" s="9">
        <f t="shared" si="40"/>
        <v>0</v>
      </c>
      <c r="T25" s="9"/>
      <c r="U25" s="9"/>
      <c r="V25" s="9">
        <f t="shared" si="41"/>
        <v>0</v>
      </c>
      <c r="W25" s="9"/>
      <c r="X25" s="9"/>
      <c r="Y25" s="9">
        <f t="shared" si="42"/>
        <v>0</v>
      </c>
      <c r="Z25" s="9"/>
      <c r="AA25" s="9"/>
      <c r="AB25" s="9">
        <f t="shared" si="43"/>
        <v>0</v>
      </c>
      <c r="AC25" s="9"/>
      <c r="AD25" s="9"/>
      <c r="AE25" s="9">
        <f t="shared" si="44"/>
        <v>0</v>
      </c>
      <c r="AF25" s="9"/>
      <c r="AG25" s="9"/>
      <c r="AH25" s="9">
        <f t="shared" si="45"/>
        <v>0</v>
      </c>
      <c r="AI25" s="9"/>
      <c r="AJ25" s="9"/>
      <c r="AK25" s="9">
        <f t="shared" si="46"/>
        <v>0</v>
      </c>
      <c r="AL25" s="9"/>
      <c r="AM25" s="9"/>
      <c r="AN25" s="9">
        <f t="shared" si="47"/>
        <v>0</v>
      </c>
      <c r="AO25" s="9"/>
      <c r="AP25" s="9"/>
      <c r="AQ25" s="9">
        <f t="shared" si="48"/>
        <v>0</v>
      </c>
      <c r="AR25" s="9"/>
      <c r="AS25" s="9"/>
      <c r="AT25" s="9">
        <f t="shared" si="49"/>
        <v>0</v>
      </c>
      <c r="AU25" s="9"/>
      <c r="AV25" s="9"/>
      <c r="AW25" s="9">
        <f t="shared" si="50"/>
        <v>0</v>
      </c>
      <c r="AX25" s="9"/>
      <c r="AY25" s="9"/>
      <c r="AZ25" s="9">
        <f t="shared" si="51"/>
        <v>0</v>
      </c>
      <c r="BA25" s="9"/>
      <c r="BB25" s="9"/>
      <c r="BC25" s="9">
        <f t="shared" si="52"/>
        <v>0</v>
      </c>
      <c r="BD25" s="9"/>
      <c r="BE25" s="9"/>
      <c r="BF25" s="9">
        <f t="shared" si="53"/>
        <v>0</v>
      </c>
      <c r="BG25" s="9"/>
      <c r="BH25" s="9"/>
      <c r="BI25" s="9">
        <f t="shared" si="54"/>
        <v>0</v>
      </c>
      <c r="BJ25" s="9"/>
      <c r="BK25" s="9"/>
      <c r="BL25" s="9">
        <f t="shared" si="66"/>
        <v>0</v>
      </c>
      <c r="BM25" s="9"/>
      <c r="BN25" s="9"/>
      <c r="BO25" s="9">
        <f t="shared" si="56"/>
        <v>0</v>
      </c>
      <c r="BP25" s="9"/>
      <c r="BQ25" s="9"/>
      <c r="BR25" s="9">
        <f t="shared" si="57"/>
        <v>0</v>
      </c>
      <c r="BS25" s="9"/>
      <c r="BT25" s="9"/>
      <c r="BU25" s="9">
        <f t="shared" si="58"/>
        <v>0</v>
      </c>
      <c r="BV25" s="9"/>
      <c r="BW25" s="9"/>
      <c r="BX25" s="9">
        <f t="shared" si="68"/>
        <v>0</v>
      </c>
      <c r="BY25" s="9"/>
      <c r="BZ25" s="9"/>
      <c r="CA25" s="9">
        <f t="shared" si="60"/>
        <v>0</v>
      </c>
      <c r="CB25" s="9"/>
      <c r="CC25" s="9"/>
      <c r="CD25" s="9">
        <f t="shared" si="61"/>
        <v>0</v>
      </c>
      <c r="CE25" s="9"/>
      <c r="CF25" s="9"/>
      <c r="CG25" s="9">
        <f t="shared" si="62"/>
        <v>0</v>
      </c>
      <c r="CH25" s="9"/>
      <c r="CI25" s="9"/>
      <c r="CJ25" s="9">
        <f t="shared" si="63"/>
        <v>0</v>
      </c>
      <c r="CK25" s="9"/>
      <c r="CL25" s="9"/>
      <c r="CM25" s="9">
        <f t="shared" si="64"/>
        <v>0</v>
      </c>
      <c r="CN25" s="9"/>
      <c r="CO25" s="9"/>
      <c r="CP25" s="9">
        <f t="shared" si="67"/>
        <v>0</v>
      </c>
    </row>
    <row r="26" spans="1:94" ht="15" customHeight="1" x14ac:dyDescent="0.25">
      <c r="A26" s="2" t="s">
        <v>159</v>
      </c>
      <c r="B26" s="9"/>
      <c r="C26" s="9"/>
      <c r="D26" s="9">
        <f t="shared" si="35"/>
        <v>0</v>
      </c>
      <c r="E26" s="9"/>
      <c r="F26" s="9"/>
      <c r="G26" s="9">
        <f t="shared" si="36"/>
        <v>0</v>
      </c>
      <c r="H26" s="9"/>
      <c r="I26" s="9"/>
      <c r="J26" s="9">
        <f t="shared" si="37"/>
        <v>0</v>
      </c>
      <c r="K26" s="9"/>
      <c r="L26" s="9"/>
      <c r="M26" s="9">
        <f t="shared" si="38"/>
        <v>0</v>
      </c>
      <c r="N26" s="9"/>
      <c r="O26" s="9"/>
      <c r="P26" s="9">
        <f t="shared" si="39"/>
        <v>0</v>
      </c>
      <c r="Q26" s="9"/>
      <c r="R26" s="9"/>
      <c r="S26" s="9">
        <f t="shared" si="40"/>
        <v>0</v>
      </c>
      <c r="T26" s="9"/>
      <c r="U26" s="9"/>
      <c r="V26" s="9">
        <f t="shared" si="41"/>
        <v>0</v>
      </c>
      <c r="W26" s="9"/>
      <c r="X26" s="9"/>
      <c r="Y26" s="9">
        <f t="shared" si="42"/>
        <v>0</v>
      </c>
      <c r="Z26" s="9">
        <v>449</v>
      </c>
      <c r="AA26" s="9">
        <v>249</v>
      </c>
      <c r="AB26" s="9">
        <f t="shared" si="43"/>
        <v>698</v>
      </c>
      <c r="AC26" s="9"/>
      <c r="AD26" s="9"/>
      <c r="AE26" s="9">
        <f t="shared" si="44"/>
        <v>0</v>
      </c>
      <c r="AF26" s="9">
        <v>1751</v>
      </c>
      <c r="AG26" s="9">
        <v>6807</v>
      </c>
      <c r="AH26" s="9">
        <f t="shared" si="45"/>
        <v>8558</v>
      </c>
      <c r="AI26" s="9"/>
      <c r="AJ26" s="9"/>
      <c r="AK26" s="9">
        <f t="shared" si="46"/>
        <v>0</v>
      </c>
      <c r="AL26" s="9"/>
      <c r="AM26" s="9"/>
      <c r="AN26" s="9">
        <f t="shared" si="47"/>
        <v>0</v>
      </c>
      <c r="AO26" s="9"/>
      <c r="AP26" s="9"/>
      <c r="AQ26" s="9">
        <f t="shared" si="48"/>
        <v>0</v>
      </c>
      <c r="AR26" s="9"/>
      <c r="AS26" s="9"/>
      <c r="AT26" s="9">
        <f t="shared" si="49"/>
        <v>0</v>
      </c>
      <c r="AU26" s="9"/>
      <c r="AV26" s="9"/>
      <c r="AW26" s="9">
        <f t="shared" si="50"/>
        <v>0</v>
      </c>
      <c r="AX26" s="9"/>
      <c r="AY26" s="9"/>
      <c r="AZ26" s="9">
        <f t="shared" si="51"/>
        <v>0</v>
      </c>
      <c r="BA26" s="9">
        <v>958</v>
      </c>
      <c r="BB26" s="9"/>
      <c r="BC26" s="9">
        <f t="shared" si="52"/>
        <v>958</v>
      </c>
      <c r="BD26" s="9"/>
      <c r="BE26" s="9"/>
      <c r="BF26" s="9">
        <f t="shared" si="53"/>
        <v>0</v>
      </c>
      <c r="BG26" s="9"/>
      <c r="BH26" s="9"/>
      <c r="BI26" s="9">
        <f t="shared" si="54"/>
        <v>0</v>
      </c>
      <c r="BJ26" s="9"/>
      <c r="BK26" s="9"/>
      <c r="BL26" s="9">
        <f t="shared" si="66"/>
        <v>0</v>
      </c>
      <c r="BM26" s="9">
        <v>7378</v>
      </c>
      <c r="BN26" s="9">
        <v>35384</v>
      </c>
      <c r="BO26" s="9">
        <f t="shared" si="56"/>
        <v>42762</v>
      </c>
      <c r="BP26" s="9">
        <v>6698</v>
      </c>
      <c r="BQ26" s="9">
        <v>34882</v>
      </c>
      <c r="BR26" s="9">
        <f t="shared" si="57"/>
        <v>41580</v>
      </c>
      <c r="BS26" s="9"/>
      <c r="BT26" s="9"/>
      <c r="BU26" s="9">
        <f t="shared" si="58"/>
        <v>0</v>
      </c>
      <c r="BV26" s="9"/>
      <c r="BW26" s="9"/>
      <c r="BX26" s="9">
        <f t="shared" si="68"/>
        <v>0</v>
      </c>
      <c r="BY26" s="9"/>
      <c r="BZ26" s="9"/>
      <c r="CA26" s="9">
        <f t="shared" si="60"/>
        <v>0</v>
      </c>
      <c r="CB26" s="9"/>
      <c r="CC26" s="9"/>
      <c r="CD26" s="9">
        <f t="shared" si="61"/>
        <v>0</v>
      </c>
      <c r="CE26" s="9"/>
      <c r="CF26" s="9"/>
      <c r="CG26" s="9">
        <f t="shared" si="62"/>
        <v>0</v>
      </c>
      <c r="CH26" s="9"/>
      <c r="CI26" s="9"/>
      <c r="CJ26" s="9">
        <f t="shared" si="63"/>
        <v>0</v>
      </c>
      <c r="CK26" s="9"/>
      <c r="CL26" s="9"/>
      <c r="CM26" s="9">
        <f t="shared" si="64"/>
        <v>0</v>
      </c>
      <c r="CN26" s="9"/>
      <c r="CO26" s="9"/>
      <c r="CP26" s="9">
        <f t="shared" si="67"/>
        <v>0</v>
      </c>
    </row>
    <row r="27" spans="1:94" ht="15" customHeight="1" x14ac:dyDescent="0.25">
      <c r="A27" s="2" t="s">
        <v>160</v>
      </c>
      <c r="B27" s="9"/>
      <c r="C27" s="9"/>
      <c r="D27" s="9">
        <f t="shared" si="35"/>
        <v>0</v>
      </c>
      <c r="E27" s="9"/>
      <c r="F27" s="9"/>
      <c r="G27" s="9">
        <f t="shared" si="36"/>
        <v>0</v>
      </c>
      <c r="H27" s="9"/>
      <c r="I27" s="9"/>
      <c r="J27" s="9">
        <f t="shared" si="37"/>
        <v>0</v>
      </c>
      <c r="K27" s="9"/>
      <c r="L27" s="9">
        <v>3299</v>
      </c>
      <c r="M27" s="9">
        <f t="shared" si="38"/>
        <v>3299</v>
      </c>
      <c r="N27" s="9"/>
      <c r="O27" s="9"/>
      <c r="P27" s="9">
        <f t="shared" si="39"/>
        <v>0</v>
      </c>
      <c r="Q27" s="9"/>
      <c r="R27" s="9"/>
      <c r="S27" s="9">
        <f t="shared" si="40"/>
        <v>0</v>
      </c>
      <c r="T27" s="9"/>
      <c r="U27" s="9"/>
      <c r="V27" s="9">
        <f t="shared" si="41"/>
        <v>0</v>
      </c>
      <c r="W27" s="9"/>
      <c r="X27" s="9"/>
      <c r="Y27" s="9">
        <f t="shared" si="42"/>
        <v>0</v>
      </c>
      <c r="Z27" s="9"/>
      <c r="AA27" s="9"/>
      <c r="AB27" s="9">
        <f t="shared" si="43"/>
        <v>0</v>
      </c>
      <c r="AC27" s="9"/>
      <c r="AD27" s="9"/>
      <c r="AE27" s="9">
        <f t="shared" si="44"/>
        <v>0</v>
      </c>
      <c r="AF27" s="9"/>
      <c r="AG27" s="9"/>
      <c r="AH27" s="9">
        <f t="shared" si="45"/>
        <v>0</v>
      </c>
      <c r="AI27" s="9">
        <v>794</v>
      </c>
      <c r="AJ27" s="9">
        <v>2506</v>
      </c>
      <c r="AK27" s="9">
        <f t="shared" si="46"/>
        <v>3300</v>
      </c>
      <c r="AL27" s="9"/>
      <c r="AM27" s="9"/>
      <c r="AN27" s="9">
        <f t="shared" si="47"/>
        <v>0</v>
      </c>
      <c r="AO27" s="9"/>
      <c r="AP27" s="9"/>
      <c r="AQ27" s="9">
        <f t="shared" si="48"/>
        <v>0</v>
      </c>
      <c r="AR27" s="9"/>
      <c r="AS27" s="9"/>
      <c r="AT27" s="9">
        <f t="shared" si="49"/>
        <v>0</v>
      </c>
      <c r="AU27" s="9"/>
      <c r="AV27" s="9"/>
      <c r="AW27" s="9">
        <f t="shared" si="50"/>
        <v>0</v>
      </c>
      <c r="AX27" s="9"/>
      <c r="AY27" s="9"/>
      <c r="AZ27" s="9">
        <f t="shared" si="51"/>
        <v>0</v>
      </c>
      <c r="BA27" s="9"/>
      <c r="BB27" s="9"/>
      <c r="BC27" s="9">
        <f t="shared" si="52"/>
        <v>0</v>
      </c>
      <c r="BD27" s="9"/>
      <c r="BE27" s="9"/>
      <c r="BF27" s="9">
        <f t="shared" si="53"/>
        <v>0</v>
      </c>
      <c r="BG27" s="9"/>
      <c r="BH27" s="9"/>
      <c r="BI27" s="9">
        <f t="shared" si="54"/>
        <v>0</v>
      </c>
      <c r="BJ27" s="9"/>
      <c r="BK27" s="9"/>
      <c r="BL27" s="9">
        <f t="shared" si="66"/>
        <v>0</v>
      </c>
      <c r="BM27" s="9"/>
      <c r="BN27" s="9"/>
      <c r="BO27" s="9">
        <f t="shared" si="56"/>
        <v>0</v>
      </c>
      <c r="BP27" s="9"/>
      <c r="BQ27" s="9"/>
      <c r="BR27" s="9">
        <f t="shared" si="57"/>
        <v>0</v>
      </c>
      <c r="BS27" s="9"/>
      <c r="BT27" s="9"/>
      <c r="BU27" s="9">
        <f t="shared" si="58"/>
        <v>0</v>
      </c>
      <c r="BV27" s="9"/>
      <c r="BW27" s="9"/>
      <c r="BX27" s="9">
        <f t="shared" si="68"/>
        <v>0</v>
      </c>
      <c r="BY27" s="9"/>
      <c r="BZ27" s="9"/>
      <c r="CA27" s="9">
        <f t="shared" si="60"/>
        <v>0</v>
      </c>
      <c r="CB27" s="9"/>
      <c r="CC27" s="9"/>
      <c r="CD27" s="9">
        <f t="shared" si="61"/>
        <v>0</v>
      </c>
      <c r="CE27" s="9"/>
      <c r="CF27" s="9"/>
      <c r="CG27" s="9">
        <f t="shared" si="62"/>
        <v>0</v>
      </c>
      <c r="CH27" s="9"/>
      <c r="CI27" s="9"/>
      <c r="CJ27" s="9">
        <f t="shared" si="63"/>
        <v>0</v>
      </c>
      <c r="CK27" s="9"/>
      <c r="CL27" s="9"/>
      <c r="CM27" s="9">
        <f t="shared" si="64"/>
        <v>0</v>
      </c>
      <c r="CN27" s="9"/>
      <c r="CO27" s="9"/>
      <c r="CP27" s="9">
        <f t="shared" si="67"/>
        <v>0</v>
      </c>
    </row>
    <row r="28" spans="1:94" ht="15" customHeight="1" x14ac:dyDescent="0.25">
      <c r="A28" s="2" t="s">
        <v>161</v>
      </c>
      <c r="B28" s="9">
        <v>3839</v>
      </c>
      <c r="C28" s="9">
        <v>4107</v>
      </c>
      <c r="D28" s="9">
        <f t="shared" si="35"/>
        <v>7946</v>
      </c>
      <c r="E28" s="9">
        <v>4932</v>
      </c>
      <c r="F28" s="9">
        <v>10186</v>
      </c>
      <c r="G28" s="9">
        <f t="shared" si="36"/>
        <v>15118</v>
      </c>
      <c r="H28" s="9">
        <v>12901</v>
      </c>
      <c r="I28" s="9">
        <v>42792</v>
      </c>
      <c r="J28" s="9">
        <f t="shared" si="37"/>
        <v>55693</v>
      </c>
      <c r="K28" s="9"/>
      <c r="L28" s="9"/>
      <c r="M28" s="9">
        <f t="shared" si="38"/>
        <v>0</v>
      </c>
      <c r="N28" s="9"/>
      <c r="O28" s="9">
        <v>13178</v>
      </c>
      <c r="P28" s="9">
        <f t="shared" si="39"/>
        <v>13178</v>
      </c>
      <c r="Q28" s="9"/>
      <c r="R28" s="9"/>
      <c r="S28" s="9">
        <f t="shared" si="40"/>
        <v>0</v>
      </c>
      <c r="T28" s="9"/>
      <c r="U28" s="9"/>
      <c r="V28" s="9">
        <f t="shared" si="41"/>
        <v>0</v>
      </c>
      <c r="W28" s="9">
        <v>8090.56</v>
      </c>
      <c r="X28" s="9">
        <v>8090.56</v>
      </c>
      <c r="Y28" s="9">
        <f t="shared" si="42"/>
        <v>16181.12</v>
      </c>
      <c r="Z28" s="9"/>
      <c r="AA28" s="9">
        <v>505</v>
      </c>
      <c r="AB28" s="9">
        <f t="shared" si="43"/>
        <v>505</v>
      </c>
      <c r="AC28" s="9"/>
      <c r="AD28" s="9"/>
      <c r="AE28" s="9">
        <f t="shared" si="44"/>
        <v>0</v>
      </c>
      <c r="AF28" s="9">
        <v>339</v>
      </c>
      <c r="AG28" s="9">
        <v>1318</v>
      </c>
      <c r="AH28" s="9">
        <f t="shared" si="45"/>
        <v>1657</v>
      </c>
      <c r="AI28" s="9">
        <v>18865</v>
      </c>
      <c r="AJ28" s="9">
        <v>49408</v>
      </c>
      <c r="AK28" s="9">
        <f t="shared" si="46"/>
        <v>68273</v>
      </c>
      <c r="AL28" s="9"/>
      <c r="AM28" s="9"/>
      <c r="AN28" s="9">
        <f t="shared" si="47"/>
        <v>0</v>
      </c>
      <c r="AO28" s="9"/>
      <c r="AP28" s="9"/>
      <c r="AQ28" s="9">
        <f t="shared" si="48"/>
        <v>0</v>
      </c>
      <c r="AR28" s="9">
        <v>1189</v>
      </c>
      <c r="AS28" s="9">
        <v>3779</v>
      </c>
      <c r="AT28" s="9">
        <f t="shared" si="49"/>
        <v>4968</v>
      </c>
      <c r="AU28" s="9">
        <v>2007</v>
      </c>
      <c r="AV28" s="9">
        <v>12032</v>
      </c>
      <c r="AW28" s="9">
        <f t="shared" si="50"/>
        <v>14039</v>
      </c>
      <c r="AX28" s="9">
        <v>1077.25</v>
      </c>
      <c r="AY28" s="9">
        <v>1833.59</v>
      </c>
      <c r="AZ28" s="9">
        <f t="shared" si="51"/>
        <v>2910.84</v>
      </c>
      <c r="BA28" s="9">
        <v>4014</v>
      </c>
      <c r="BB28" s="9">
        <v>118</v>
      </c>
      <c r="BC28" s="9">
        <f>BB28+BA28</f>
        <v>4132</v>
      </c>
      <c r="BD28" s="9">
        <v>980.17</v>
      </c>
      <c r="BE28" s="9">
        <v>54914.26</v>
      </c>
      <c r="BF28" s="9">
        <f t="shared" si="53"/>
        <v>55894.43</v>
      </c>
      <c r="BG28" s="9"/>
      <c r="BH28" s="9"/>
      <c r="BI28" s="9">
        <f t="shared" si="54"/>
        <v>0</v>
      </c>
      <c r="BJ28" s="9">
        <v>1166</v>
      </c>
      <c r="BK28" s="9">
        <v>4008</v>
      </c>
      <c r="BL28" s="9">
        <f t="shared" si="66"/>
        <v>5174</v>
      </c>
      <c r="BM28" s="9">
        <v>890</v>
      </c>
      <c r="BN28" s="9">
        <v>4268</v>
      </c>
      <c r="BO28" s="9">
        <f t="shared" si="56"/>
        <v>5158</v>
      </c>
      <c r="BP28" s="9">
        <v>1612</v>
      </c>
      <c r="BQ28" s="9">
        <v>8393</v>
      </c>
      <c r="BR28" s="9">
        <f t="shared" si="57"/>
        <v>10005</v>
      </c>
      <c r="BS28" s="9"/>
      <c r="BT28" s="9"/>
      <c r="BU28" s="9">
        <f t="shared" si="58"/>
        <v>0</v>
      </c>
      <c r="BV28" s="9"/>
      <c r="BW28" s="9"/>
      <c r="BX28" s="9">
        <f t="shared" si="68"/>
        <v>0</v>
      </c>
      <c r="BY28" s="9">
        <v>18366</v>
      </c>
      <c r="BZ28" s="9">
        <v>25950</v>
      </c>
      <c r="CA28" s="9">
        <f t="shared" si="60"/>
        <v>44316</v>
      </c>
      <c r="CB28" s="9">
        <v>16178</v>
      </c>
      <c r="CC28" s="9">
        <v>75204</v>
      </c>
      <c r="CD28" s="9">
        <f t="shared" si="61"/>
        <v>91382</v>
      </c>
      <c r="CE28" s="9"/>
      <c r="CF28" s="9"/>
      <c r="CG28" s="9">
        <f t="shared" si="62"/>
        <v>0</v>
      </c>
      <c r="CH28" s="9">
        <v>-16169</v>
      </c>
      <c r="CI28" s="9">
        <v>108041</v>
      </c>
      <c r="CJ28" s="9">
        <f t="shared" si="63"/>
        <v>91872</v>
      </c>
      <c r="CK28" s="9">
        <v>970</v>
      </c>
      <c r="CL28" s="9">
        <v>73102</v>
      </c>
      <c r="CM28" s="9">
        <f t="shared" si="64"/>
        <v>74072</v>
      </c>
      <c r="CN28" s="9">
        <v>82</v>
      </c>
      <c r="CO28" s="9">
        <v>294</v>
      </c>
      <c r="CP28" s="9">
        <f t="shared" si="67"/>
        <v>376</v>
      </c>
    </row>
    <row r="29" spans="1:94" ht="15" customHeight="1" x14ac:dyDescent="0.25">
      <c r="A29" s="2" t="s">
        <v>287</v>
      </c>
      <c r="B29" s="9"/>
      <c r="C29" s="9"/>
      <c r="D29" s="9"/>
      <c r="E29" s="9"/>
      <c r="F29" s="9"/>
      <c r="G29" s="9"/>
      <c r="H29" s="9"/>
      <c r="I29" s="9"/>
      <c r="J29" s="9">
        <f t="shared" si="37"/>
        <v>0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>
        <v>1373.64</v>
      </c>
      <c r="AD29" s="9">
        <v>4227.13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>
        <v>0</v>
      </c>
      <c r="CI29" s="9">
        <v>0</v>
      </c>
      <c r="CJ29" s="9"/>
      <c r="CK29" s="9"/>
      <c r="CL29" s="9"/>
      <c r="CM29" s="9"/>
      <c r="CN29" s="9"/>
      <c r="CO29" s="9"/>
      <c r="CP29" s="9"/>
    </row>
    <row r="30" spans="1:94" ht="15" customHeight="1" x14ac:dyDescent="0.25">
      <c r="A30" s="2" t="s">
        <v>288</v>
      </c>
      <c r="B30" s="9">
        <v>49</v>
      </c>
      <c r="C30" s="9">
        <v>52</v>
      </c>
      <c r="D30" s="9">
        <f t="shared" si="35"/>
        <v>101</v>
      </c>
      <c r="E30" s="9"/>
      <c r="F30" s="9">
        <v>510</v>
      </c>
      <c r="G30" s="9">
        <f t="shared" si="36"/>
        <v>510</v>
      </c>
      <c r="H30" s="9">
        <v>6602</v>
      </c>
      <c r="I30" s="9">
        <v>21898</v>
      </c>
      <c r="J30" s="9">
        <f t="shared" si="37"/>
        <v>28500</v>
      </c>
      <c r="K30" s="9">
        <v>5051</v>
      </c>
      <c r="L30" s="9">
        <v>69901</v>
      </c>
      <c r="M30" s="9">
        <f t="shared" si="38"/>
        <v>74952</v>
      </c>
      <c r="N30" s="9">
        <v>3000</v>
      </c>
      <c r="O30" s="9">
        <v>8490</v>
      </c>
      <c r="P30" s="9">
        <f t="shared" si="39"/>
        <v>11490</v>
      </c>
      <c r="Q30" s="9">
        <v>6720</v>
      </c>
      <c r="R30" s="9">
        <v>46545</v>
      </c>
      <c r="S30" s="9">
        <f t="shared" si="40"/>
        <v>53265</v>
      </c>
      <c r="T30" s="9"/>
      <c r="U30" s="9">
        <v>13401</v>
      </c>
      <c r="V30" s="9">
        <f t="shared" si="41"/>
        <v>13401</v>
      </c>
      <c r="W30" s="9">
        <v>5409.93</v>
      </c>
      <c r="X30" s="9">
        <v>5409.93</v>
      </c>
      <c r="Y30" s="9">
        <f t="shared" si="42"/>
        <v>10819.86</v>
      </c>
      <c r="Z30" s="9"/>
      <c r="AA30" s="9">
        <v>872</v>
      </c>
      <c r="AB30" s="9">
        <f t="shared" si="43"/>
        <v>872</v>
      </c>
      <c r="AC30" s="9">
        <v>5198.43</v>
      </c>
      <c r="AD30" s="9">
        <v>15997.26</v>
      </c>
      <c r="AE30" s="9">
        <f t="shared" si="44"/>
        <v>21195.690000000002</v>
      </c>
      <c r="AF30" s="9">
        <v>10941</v>
      </c>
      <c r="AG30" s="9">
        <v>42534</v>
      </c>
      <c r="AH30" s="9">
        <f t="shared" si="45"/>
        <v>53475</v>
      </c>
      <c r="AI30" s="9">
        <v>9873</v>
      </c>
      <c r="AJ30" s="9">
        <v>31151</v>
      </c>
      <c r="AK30" s="9">
        <f t="shared" si="46"/>
        <v>41024</v>
      </c>
      <c r="AL30" s="9">
        <v>6279</v>
      </c>
      <c r="AM30" s="9">
        <v>21728</v>
      </c>
      <c r="AN30" s="9">
        <f t="shared" si="47"/>
        <v>28007</v>
      </c>
      <c r="AO30" s="9">
        <v>243</v>
      </c>
      <c r="AP30" s="9">
        <v>758</v>
      </c>
      <c r="AQ30" s="9">
        <f t="shared" si="48"/>
        <v>1001</v>
      </c>
      <c r="AR30" s="9">
        <v>1316</v>
      </c>
      <c r="AS30" s="9">
        <v>4184</v>
      </c>
      <c r="AT30" s="9">
        <f t="shared" si="49"/>
        <v>5500</v>
      </c>
      <c r="AU30" s="9">
        <v>364</v>
      </c>
      <c r="AV30" s="9">
        <v>2184</v>
      </c>
      <c r="AW30" s="9">
        <f t="shared" si="50"/>
        <v>2548</v>
      </c>
      <c r="AX30" s="9">
        <v>1007.31</v>
      </c>
      <c r="AY30" s="9">
        <v>3537.35</v>
      </c>
      <c r="AZ30" s="9">
        <f t="shared" si="51"/>
        <v>4544.66</v>
      </c>
      <c r="BA30" s="9">
        <v>6477</v>
      </c>
      <c r="BB30" s="9">
        <v>1001</v>
      </c>
      <c r="BC30" s="9">
        <f t="shared" si="52"/>
        <v>7478</v>
      </c>
      <c r="BD30" s="9">
        <v>1094.42</v>
      </c>
      <c r="BE30" s="9">
        <v>61315.48</v>
      </c>
      <c r="BF30" s="9">
        <f t="shared" si="53"/>
        <v>62409.9</v>
      </c>
      <c r="BG30" s="9">
        <v>352</v>
      </c>
      <c r="BH30" s="9"/>
      <c r="BI30" s="9">
        <f t="shared" si="54"/>
        <v>352</v>
      </c>
      <c r="BJ30" s="9"/>
      <c r="BK30" s="9"/>
      <c r="BL30" s="9">
        <f t="shared" si="66"/>
        <v>0</v>
      </c>
      <c r="BM30" s="9">
        <v>12631</v>
      </c>
      <c r="BN30" s="9">
        <v>60579</v>
      </c>
      <c r="BO30" s="9">
        <f t="shared" si="56"/>
        <v>73210</v>
      </c>
      <c r="BP30" s="9">
        <v>4999</v>
      </c>
      <c r="BQ30" s="9">
        <v>26031</v>
      </c>
      <c r="BR30" s="9">
        <f t="shared" si="57"/>
        <v>31030</v>
      </c>
      <c r="BS30" s="9"/>
      <c r="BT30" s="9">
        <v>47144</v>
      </c>
      <c r="BU30" s="9">
        <f t="shared" si="58"/>
        <v>47144</v>
      </c>
      <c r="BV30" s="9">
        <v>2501</v>
      </c>
      <c r="BW30" s="9">
        <v>16847</v>
      </c>
      <c r="BX30" s="9">
        <f t="shared" si="68"/>
        <v>19348</v>
      </c>
      <c r="BY30" s="9"/>
      <c r="BZ30" s="9"/>
      <c r="CA30" s="9">
        <f t="shared" si="60"/>
        <v>0</v>
      </c>
      <c r="CB30" s="9">
        <v>1272</v>
      </c>
      <c r="CC30" s="9">
        <v>5912</v>
      </c>
      <c r="CD30" s="9">
        <f t="shared" si="61"/>
        <v>7184</v>
      </c>
      <c r="CE30" s="9">
        <v>10615</v>
      </c>
      <c r="CF30" s="9">
        <v>26153</v>
      </c>
      <c r="CG30" s="9">
        <f t="shared" si="62"/>
        <v>36768</v>
      </c>
      <c r="CH30" s="9">
        <v>-1937</v>
      </c>
      <c r="CI30" s="9">
        <v>12945</v>
      </c>
      <c r="CJ30" s="9">
        <f t="shared" si="63"/>
        <v>11008</v>
      </c>
      <c r="CK30" s="9">
        <v>313</v>
      </c>
      <c r="CL30" s="9">
        <v>23600</v>
      </c>
      <c r="CM30" s="9">
        <f t="shared" si="64"/>
        <v>23913</v>
      </c>
      <c r="CN30" s="9">
        <v>4695</v>
      </c>
      <c r="CO30" s="9">
        <v>16892</v>
      </c>
      <c r="CP30" s="9">
        <f t="shared" si="67"/>
        <v>21587</v>
      </c>
    </row>
    <row r="31" spans="1:94" ht="15" customHeight="1" x14ac:dyDescent="0.25">
      <c r="A31" s="2" t="s">
        <v>168</v>
      </c>
      <c r="B31" s="9">
        <v>4951</v>
      </c>
      <c r="C31" s="9">
        <v>5297</v>
      </c>
      <c r="D31" s="9">
        <f t="shared" si="35"/>
        <v>10248</v>
      </c>
      <c r="E31" s="9">
        <f>250+2335</f>
        <v>2585</v>
      </c>
      <c r="F31" s="9">
        <v>4723</v>
      </c>
      <c r="G31" s="9">
        <f t="shared" si="36"/>
        <v>7308</v>
      </c>
      <c r="H31" s="9">
        <v>32271</v>
      </c>
      <c r="I31" s="9">
        <v>107042</v>
      </c>
      <c r="J31" s="9">
        <f t="shared" si="37"/>
        <v>139313</v>
      </c>
      <c r="K31" s="9">
        <v>300</v>
      </c>
      <c r="L31" s="9">
        <v>1100</v>
      </c>
      <c r="M31" s="9">
        <f t="shared" si="38"/>
        <v>1400</v>
      </c>
      <c r="N31" s="9"/>
      <c r="O31" s="9"/>
      <c r="P31" s="9">
        <f t="shared" si="39"/>
        <v>0</v>
      </c>
      <c r="Q31" s="9">
        <f>2042+1494</f>
        <v>3536</v>
      </c>
      <c r="R31" s="9">
        <f>14141+10352</f>
        <v>24493</v>
      </c>
      <c r="S31" s="9">
        <f t="shared" si="40"/>
        <v>28029</v>
      </c>
      <c r="T31" s="9"/>
      <c r="U31" s="9"/>
      <c r="V31" s="9">
        <f t="shared" si="41"/>
        <v>0</v>
      </c>
      <c r="W31" s="9">
        <v>15664.04</v>
      </c>
      <c r="X31" s="9">
        <v>15664.04</v>
      </c>
      <c r="Y31" s="9">
        <f t="shared" si="42"/>
        <v>31328.080000000002</v>
      </c>
      <c r="Z31" s="9"/>
      <c r="AA31" s="9">
        <v>4000</v>
      </c>
      <c r="AB31" s="9">
        <f t="shared" si="43"/>
        <v>4000</v>
      </c>
      <c r="AC31" s="9"/>
      <c r="AD31" s="9"/>
      <c r="AE31" s="9">
        <f t="shared" si="44"/>
        <v>0</v>
      </c>
      <c r="AF31" s="9">
        <v>13830</v>
      </c>
      <c r="AG31" s="9">
        <v>53761</v>
      </c>
      <c r="AH31" s="9">
        <f t="shared" si="45"/>
        <v>67591</v>
      </c>
      <c r="AI31" s="9"/>
      <c r="AJ31" s="9"/>
      <c r="AK31" s="9">
        <f t="shared" si="46"/>
        <v>0</v>
      </c>
      <c r="AL31" s="9">
        <v>4079</v>
      </c>
      <c r="AM31" s="9">
        <v>14116</v>
      </c>
      <c r="AN31" s="9">
        <f t="shared" si="47"/>
        <v>18195</v>
      </c>
      <c r="AO31" s="9">
        <v>1993</v>
      </c>
      <c r="AP31" s="9">
        <v>6226</v>
      </c>
      <c r="AQ31" s="9">
        <f t="shared" si="48"/>
        <v>8219</v>
      </c>
      <c r="AR31" s="9"/>
      <c r="AS31" s="9"/>
      <c r="AT31" s="9">
        <f t="shared" si="49"/>
        <v>0</v>
      </c>
      <c r="AU31" s="9">
        <v>1160</v>
      </c>
      <c r="AV31" s="9">
        <v>6955</v>
      </c>
      <c r="AW31" s="9">
        <f t="shared" si="50"/>
        <v>8115</v>
      </c>
      <c r="AX31" s="9"/>
      <c r="AY31" s="9"/>
      <c r="AZ31" s="9">
        <f t="shared" si="51"/>
        <v>0</v>
      </c>
      <c r="BA31" s="9">
        <v>3347</v>
      </c>
      <c r="BB31" s="9">
        <v>390</v>
      </c>
      <c r="BC31" s="9">
        <f t="shared" si="52"/>
        <v>3737</v>
      </c>
      <c r="BD31" s="9">
        <v>4055.68</v>
      </c>
      <c r="BE31" s="9">
        <v>227221.34</v>
      </c>
      <c r="BF31" s="9">
        <f t="shared" si="53"/>
        <v>231277.02</v>
      </c>
      <c r="BG31" s="9">
        <v>2550</v>
      </c>
      <c r="BH31" s="9">
        <v>500</v>
      </c>
      <c r="BI31" s="9">
        <f t="shared" si="54"/>
        <v>3050</v>
      </c>
      <c r="BJ31" s="9">
        <v>8</v>
      </c>
      <c r="BK31" s="9">
        <v>26</v>
      </c>
      <c r="BL31" s="9">
        <f t="shared" si="66"/>
        <v>34</v>
      </c>
      <c r="BM31" s="9">
        <v>6654</v>
      </c>
      <c r="BN31" s="9">
        <v>31910</v>
      </c>
      <c r="BO31" s="9">
        <f t="shared" si="56"/>
        <v>38564</v>
      </c>
      <c r="BP31" s="9">
        <v>1471</v>
      </c>
      <c r="BQ31" s="9">
        <v>7661</v>
      </c>
      <c r="BR31" s="9">
        <f t="shared" si="57"/>
        <v>9132</v>
      </c>
      <c r="BS31" s="9"/>
      <c r="BT31" s="9"/>
      <c r="BU31" s="9">
        <f t="shared" si="58"/>
        <v>0</v>
      </c>
      <c r="BV31" s="9"/>
      <c r="BW31" s="9"/>
      <c r="BX31" s="9">
        <f t="shared" si="68"/>
        <v>0</v>
      </c>
      <c r="BY31" s="9">
        <v>22136</v>
      </c>
      <c r="BZ31" s="9">
        <v>31275</v>
      </c>
      <c r="CA31" s="9">
        <f t="shared" si="60"/>
        <v>53411</v>
      </c>
      <c r="CB31" s="9">
        <v>1345</v>
      </c>
      <c r="CC31" s="9">
        <v>6253</v>
      </c>
      <c r="CD31" s="9">
        <f t="shared" si="61"/>
        <v>7598</v>
      </c>
      <c r="CE31" s="9"/>
      <c r="CF31" s="9"/>
      <c r="CG31" s="9">
        <f t="shared" si="62"/>
        <v>0</v>
      </c>
      <c r="CH31" s="9">
        <v>0</v>
      </c>
      <c r="CI31" s="9">
        <v>0</v>
      </c>
      <c r="CJ31" s="9">
        <f t="shared" si="63"/>
        <v>0</v>
      </c>
      <c r="CK31" s="9"/>
      <c r="CL31" s="9"/>
      <c r="CM31" s="9">
        <f t="shared" si="64"/>
        <v>0</v>
      </c>
      <c r="CN31" s="9"/>
      <c r="CO31" s="9"/>
      <c r="CP31" s="9">
        <f t="shared" si="67"/>
        <v>0</v>
      </c>
    </row>
    <row r="32" spans="1:94" ht="15" customHeight="1" x14ac:dyDescent="0.25">
      <c r="A32" s="2" t="s">
        <v>162</v>
      </c>
      <c r="B32" s="9"/>
      <c r="C32" s="9"/>
      <c r="D32" s="9">
        <f t="shared" si="35"/>
        <v>0</v>
      </c>
      <c r="E32" s="9"/>
      <c r="F32" s="9"/>
      <c r="G32" s="9">
        <f t="shared" si="36"/>
        <v>0</v>
      </c>
      <c r="H32" s="9"/>
      <c r="I32" s="9"/>
      <c r="J32" s="9">
        <f t="shared" si="37"/>
        <v>0</v>
      </c>
      <c r="K32" s="9"/>
      <c r="L32" s="9"/>
      <c r="M32" s="9">
        <f t="shared" si="38"/>
        <v>0</v>
      </c>
      <c r="N32" s="9"/>
      <c r="O32" s="9"/>
      <c r="P32" s="9">
        <f t="shared" si="39"/>
        <v>0</v>
      </c>
      <c r="Q32" s="9"/>
      <c r="R32" s="9"/>
      <c r="S32" s="9">
        <f t="shared" si="40"/>
        <v>0</v>
      </c>
      <c r="T32" s="9"/>
      <c r="U32" s="9"/>
      <c r="V32" s="9">
        <f t="shared" si="41"/>
        <v>0</v>
      </c>
      <c r="W32" s="9"/>
      <c r="X32" s="9"/>
      <c r="Y32" s="9">
        <f t="shared" si="42"/>
        <v>0</v>
      </c>
      <c r="Z32" s="9"/>
      <c r="AA32" s="9"/>
      <c r="AB32" s="9">
        <f t="shared" si="43"/>
        <v>0</v>
      </c>
      <c r="AC32" s="9"/>
      <c r="AD32" s="9"/>
      <c r="AE32" s="9">
        <f t="shared" si="44"/>
        <v>0</v>
      </c>
      <c r="AF32" s="9"/>
      <c r="AG32" s="9"/>
      <c r="AH32" s="9">
        <f t="shared" si="45"/>
        <v>0</v>
      </c>
      <c r="AI32" s="9"/>
      <c r="AJ32" s="9"/>
      <c r="AK32" s="9">
        <f t="shared" si="46"/>
        <v>0</v>
      </c>
      <c r="AL32" s="9"/>
      <c r="AM32" s="9"/>
      <c r="AN32" s="9">
        <f t="shared" si="47"/>
        <v>0</v>
      </c>
      <c r="AO32" s="9"/>
      <c r="AP32" s="9"/>
      <c r="AQ32" s="9">
        <f t="shared" si="48"/>
        <v>0</v>
      </c>
      <c r="AR32" s="9"/>
      <c r="AS32" s="9"/>
      <c r="AT32" s="9">
        <f t="shared" si="49"/>
        <v>0</v>
      </c>
      <c r="AU32" s="9"/>
      <c r="AV32" s="9"/>
      <c r="AW32" s="9">
        <f t="shared" si="50"/>
        <v>0</v>
      </c>
      <c r="AX32" s="9"/>
      <c r="AY32" s="9"/>
      <c r="AZ32" s="9">
        <f t="shared" si="51"/>
        <v>0</v>
      </c>
      <c r="BA32" s="9"/>
      <c r="BB32" s="9"/>
      <c r="BC32" s="9">
        <f t="shared" si="52"/>
        <v>0</v>
      </c>
      <c r="BD32" s="9"/>
      <c r="BE32" s="9"/>
      <c r="BF32" s="9">
        <f t="shared" si="53"/>
        <v>0</v>
      </c>
      <c r="BG32" s="9"/>
      <c r="BH32" s="9"/>
      <c r="BI32" s="9">
        <f t="shared" si="54"/>
        <v>0</v>
      </c>
      <c r="BJ32" s="9"/>
      <c r="BK32" s="9"/>
      <c r="BL32" s="9">
        <f t="shared" si="66"/>
        <v>0</v>
      </c>
      <c r="BM32" s="9"/>
      <c r="BN32" s="9"/>
      <c r="BO32" s="9">
        <f t="shared" si="56"/>
        <v>0</v>
      </c>
      <c r="BP32" s="9"/>
      <c r="BQ32" s="9"/>
      <c r="BR32" s="9">
        <f t="shared" si="57"/>
        <v>0</v>
      </c>
      <c r="BS32" s="9"/>
      <c r="BT32" s="9"/>
      <c r="BU32" s="9">
        <f t="shared" si="58"/>
        <v>0</v>
      </c>
      <c r="BV32" s="9"/>
      <c r="BW32" s="9"/>
      <c r="BX32" s="9">
        <f t="shared" si="68"/>
        <v>0</v>
      </c>
      <c r="BY32" s="9"/>
      <c r="BZ32" s="9"/>
      <c r="CA32" s="9">
        <f t="shared" si="60"/>
        <v>0</v>
      </c>
      <c r="CB32" s="9"/>
      <c r="CC32" s="9"/>
      <c r="CD32" s="9">
        <f t="shared" si="61"/>
        <v>0</v>
      </c>
      <c r="CE32" s="9"/>
      <c r="CF32" s="9"/>
      <c r="CG32" s="9">
        <f t="shared" si="62"/>
        <v>0</v>
      </c>
      <c r="CH32" s="9">
        <v>0</v>
      </c>
      <c r="CI32" s="9">
        <v>0</v>
      </c>
      <c r="CJ32" s="9">
        <f t="shared" si="63"/>
        <v>0</v>
      </c>
      <c r="CK32" s="9"/>
      <c r="CL32" s="9"/>
      <c r="CM32" s="9">
        <f t="shared" si="64"/>
        <v>0</v>
      </c>
      <c r="CN32" s="9"/>
      <c r="CO32" s="9"/>
      <c r="CP32" s="9">
        <f t="shared" si="67"/>
        <v>0</v>
      </c>
    </row>
    <row r="33" spans="1:94" ht="15" customHeight="1" x14ac:dyDescent="0.25">
      <c r="A33" s="2" t="s">
        <v>289</v>
      </c>
      <c r="B33" s="9"/>
      <c r="C33" s="9"/>
      <c r="D33" s="9"/>
      <c r="E33" s="9"/>
      <c r="F33" s="9"/>
      <c r="G33" s="9"/>
      <c r="H33" s="9"/>
      <c r="I33" s="9"/>
      <c r="J33" s="9">
        <f t="shared" si="37"/>
        <v>0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>
        <f t="shared" si="41"/>
        <v>0</v>
      </c>
      <c r="W33" s="9"/>
      <c r="X33" s="9"/>
      <c r="Y33" s="9"/>
      <c r="Z33" s="9"/>
      <c r="AA33" s="9">
        <v>1252</v>
      </c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>
        <f t="shared" si="68"/>
        <v>0</v>
      </c>
      <c r="BY33" s="9"/>
      <c r="BZ33" s="9"/>
      <c r="CA33" s="9"/>
      <c r="CB33" s="9"/>
      <c r="CC33" s="9"/>
      <c r="CD33" s="9"/>
      <c r="CE33" s="9"/>
      <c r="CF33" s="9"/>
      <c r="CG33" s="9"/>
      <c r="CH33" s="9">
        <v>0</v>
      </c>
      <c r="CI33" s="9">
        <v>0</v>
      </c>
      <c r="CJ33" s="9">
        <f t="shared" si="63"/>
        <v>0</v>
      </c>
      <c r="CK33" s="9"/>
      <c r="CL33" s="9"/>
      <c r="CM33" s="9"/>
      <c r="CN33" s="9"/>
      <c r="CO33" s="9"/>
      <c r="CP33" s="9">
        <f t="shared" si="67"/>
        <v>0</v>
      </c>
    </row>
    <row r="34" spans="1:94" ht="15" customHeight="1" x14ac:dyDescent="0.25">
      <c r="A34" s="2" t="s">
        <v>286</v>
      </c>
      <c r="B34" s="9">
        <v>2614</v>
      </c>
      <c r="C34" s="9">
        <v>2796</v>
      </c>
      <c r="D34" s="9">
        <f t="shared" si="35"/>
        <v>5410</v>
      </c>
      <c r="E34" s="9"/>
      <c r="F34" s="9">
        <v>1000</v>
      </c>
      <c r="G34" s="9">
        <f t="shared" si="36"/>
        <v>1000</v>
      </c>
      <c r="H34" s="9">
        <v>2781</v>
      </c>
      <c r="I34" s="9">
        <v>9226</v>
      </c>
      <c r="J34" s="9">
        <f t="shared" si="37"/>
        <v>12007</v>
      </c>
      <c r="K34" s="9">
        <v>25186</v>
      </c>
      <c r="L34" s="9">
        <v>122044</v>
      </c>
      <c r="M34" s="9">
        <f t="shared" si="38"/>
        <v>147230</v>
      </c>
      <c r="N34" s="9">
        <v>2501</v>
      </c>
      <c r="O34" s="9">
        <v>10765</v>
      </c>
      <c r="P34" s="9">
        <f t="shared" si="39"/>
        <v>13266</v>
      </c>
      <c r="Q34" s="9">
        <v>1604</v>
      </c>
      <c r="R34" s="9">
        <v>11110</v>
      </c>
      <c r="S34" s="9">
        <f t="shared" si="40"/>
        <v>12714</v>
      </c>
      <c r="T34" s="9">
        <v>19888</v>
      </c>
      <c r="U34" s="9">
        <v>120147</v>
      </c>
      <c r="V34" s="9">
        <f t="shared" si="41"/>
        <v>140035</v>
      </c>
      <c r="W34" s="9">
        <v>10569.06</v>
      </c>
      <c r="X34" s="9">
        <v>10569.06</v>
      </c>
      <c r="Y34" s="9">
        <f t="shared" si="42"/>
        <v>21138.12</v>
      </c>
      <c r="Z34" s="9">
        <v>129</v>
      </c>
      <c r="AA34" s="9">
        <v>8354</v>
      </c>
      <c r="AB34" s="9">
        <f t="shared" si="43"/>
        <v>8483</v>
      </c>
      <c r="AC34" s="9"/>
      <c r="AD34" s="9"/>
      <c r="AE34" s="9">
        <f t="shared" si="44"/>
        <v>0</v>
      </c>
      <c r="AF34" s="9">
        <v>16037</v>
      </c>
      <c r="AG34" s="9">
        <v>62341</v>
      </c>
      <c r="AH34" s="9">
        <f t="shared" si="45"/>
        <v>78378</v>
      </c>
      <c r="AI34" s="9">
        <v>12265</v>
      </c>
      <c r="AJ34" s="9">
        <v>38698</v>
      </c>
      <c r="AK34" s="9">
        <f t="shared" si="46"/>
        <v>50963</v>
      </c>
      <c r="AL34" s="9">
        <v>30727</v>
      </c>
      <c r="AM34" s="9">
        <v>106324</v>
      </c>
      <c r="AN34" s="9">
        <f t="shared" si="47"/>
        <v>137051</v>
      </c>
      <c r="AO34" s="9">
        <v>1214</v>
      </c>
      <c r="AP34" s="9">
        <v>3791</v>
      </c>
      <c r="AQ34" s="9">
        <f t="shared" si="48"/>
        <v>5005</v>
      </c>
      <c r="AR34" s="9">
        <v>957</v>
      </c>
      <c r="AS34" s="9">
        <v>3040</v>
      </c>
      <c r="AT34" s="9">
        <f t="shared" si="49"/>
        <v>3997</v>
      </c>
      <c r="AU34" s="9">
        <v>357</v>
      </c>
      <c r="AV34" s="9">
        <v>2137</v>
      </c>
      <c r="AW34" s="9">
        <f t="shared" si="50"/>
        <v>2494</v>
      </c>
      <c r="AX34" s="9">
        <v>2508.17</v>
      </c>
      <c r="AY34" s="9">
        <v>7525.93</v>
      </c>
      <c r="AZ34" s="9">
        <f t="shared" si="51"/>
        <v>10034.1</v>
      </c>
      <c r="BA34" s="9">
        <v>6023</v>
      </c>
      <c r="BB34" s="9"/>
      <c r="BC34" s="9">
        <f t="shared" si="52"/>
        <v>6023</v>
      </c>
      <c r="BD34" s="9">
        <v>288.11</v>
      </c>
      <c r="BE34" s="9">
        <v>16141.61</v>
      </c>
      <c r="BF34" s="9">
        <f t="shared" si="53"/>
        <v>16429.72</v>
      </c>
      <c r="BG34" s="9">
        <v>1505</v>
      </c>
      <c r="BH34" s="9">
        <v>1003</v>
      </c>
      <c r="BI34" s="9">
        <f t="shared" si="54"/>
        <v>2508</v>
      </c>
      <c r="BJ34" s="9">
        <v>226</v>
      </c>
      <c r="BK34" s="9">
        <v>777</v>
      </c>
      <c r="BL34" s="9">
        <f t="shared" si="66"/>
        <v>1003</v>
      </c>
      <c r="BM34" s="9">
        <v>3841</v>
      </c>
      <c r="BN34" s="9">
        <v>18421</v>
      </c>
      <c r="BO34" s="9">
        <f t="shared" si="56"/>
        <v>22262</v>
      </c>
      <c r="BP34" s="9">
        <v>6570</v>
      </c>
      <c r="BQ34" s="9">
        <v>34211</v>
      </c>
      <c r="BR34" s="9">
        <f t="shared" si="57"/>
        <v>40781</v>
      </c>
      <c r="BS34" s="9"/>
      <c r="BT34" s="9">
        <v>20028</v>
      </c>
      <c r="BU34" s="9">
        <f t="shared" si="58"/>
        <v>20028</v>
      </c>
      <c r="BV34" s="9">
        <v>1996</v>
      </c>
      <c r="BW34" s="9">
        <v>5168</v>
      </c>
      <c r="BX34" s="9">
        <f t="shared" si="68"/>
        <v>7164</v>
      </c>
      <c r="BY34" s="9">
        <v>4216</v>
      </c>
      <c r="BZ34" s="9">
        <v>5957</v>
      </c>
      <c r="CA34" s="9">
        <f t="shared" si="60"/>
        <v>10173</v>
      </c>
      <c r="CB34" s="9">
        <v>5678</v>
      </c>
      <c r="CC34" s="9">
        <v>26393</v>
      </c>
      <c r="CD34" s="9">
        <f t="shared" si="61"/>
        <v>32071</v>
      </c>
      <c r="CE34" s="9">
        <v>52401</v>
      </c>
      <c r="CF34" s="9">
        <v>129101</v>
      </c>
      <c r="CG34" s="9">
        <f t="shared" si="62"/>
        <v>181502</v>
      </c>
      <c r="CH34" s="9">
        <v>-1360</v>
      </c>
      <c r="CI34" s="9">
        <v>9091</v>
      </c>
      <c r="CJ34" s="9">
        <f t="shared" si="63"/>
        <v>7731</v>
      </c>
      <c r="CK34" s="9">
        <v>1047</v>
      </c>
      <c r="CL34" s="9">
        <v>78903</v>
      </c>
      <c r="CM34" s="9">
        <f t="shared" si="64"/>
        <v>79950</v>
      </c>
      <c r="CN34" s="9">
        <v>1635</v>
      </c>
      <c r="CO34" s="9">
        <v>5882</v>
      </c>
      <c r="CP34" s="9">
        <f t="shared" si="67"/>
        <v>7517</v>
      </c>
    </row>
    <row r="35" spans="1:94" x14ac:dyDescent="0.25">
      <c r="A35" s="2" t="s">
        <v>164</v>
      </c>
      <c r="B35" s="9"/>
      <c r="C35" s="9"/>
      <c r="D35" s="9">
        <f t="shared" si="35"/>
        <v>0</v>
      </c>
      <c r="E35" s="9"/>
      <c r="F35" s="9"/>
      <c r="G35" s="9">
        <f t="shared" si="36"/>
        <v>0</v>
      </c>
      <c r="H35" s="9"/>
      <c r="I35" s="9"/>
      <c r="J35" s="9">
        <f t="shared" si="37"/>
        <v>0</v>
      </c>
      <c r="K35" s="9"/>
      <c r="L35" s="9"/>
      <c r="M35" s="9">
        <f t="shared" si="38"/>
        <v>0</v>
      </c>
      <c r="N35" s="9"/>
      <c r="O35" s="9"/>
      <c r="P35" s="9">
        <f t="shared" si="39"/>
        <v>0</v>
      </c>
      <c r="Q35" s="9">
        <v>151</v>
      </c>
      <c r="R35" s="9">
        <f>1044</f>
        <v>1044</v>
      </c>
      <c r="S35" s="9">
        <f t="shared" si="40"/>
        <v>1195</v>
      </c>
      <c r="T35" s="9"/>
      <c r="U35" s="9"/>
      <c r="V35" s="9">
        <f t="shared" si="41"/>
        <v>0</v>
      </c>
      <c r="W35" s="9">
        <v>2998.84</v>
      </c>
      <c r="X35" s="9">
        <v>2998.84</v>
      </c>
      <c r="Y35" s="9">
        <f t="shared" si="42"/>
        <v>5997.68</v>
      </c>
      <c r="Z35" s="9">
        <v>1331</v>
      </c>
      <c r="AA35" s="9">
        <v>1194</v>
      </c>
      <c r="AB35" s="9">
        <f t="shared" si="43"/>
        <v>2525</v>
      </c>
      <c r="AC35" s="9"/>
      <c r="AD35" s="9"/>
      <c r="AE35" s="9">
        <f t="shared" si="44"/>
        <v>0</v>
      </c>
      <c r="AF35" s="9"/>
      <c r="AG35" s="9"/>
      <c r="AH35" s="9">
        <f t="shared" si="45"/>
        <v>0</v>
      </c>
      <c r="AI35" s="9"/>
      <c r="AJ35" s="9"/>
      <c r="AK35" s="9">
        <f t="shared" si="46"/>
        <v>0</v>
      </c>
      <c r="AL35" s="9"/>
      <c r="AM35" s="9"/>
      <c r="AN35" s="9">
        <f t="shared" si="47"/>
        <v>0</v>
      </c>
      <c r="AO35" s="9"/>
      <c r="AP35" s="9"/>
      <c r="AQ35" s="9">
        <f t="shared" si="48"/>
        <v>0</v>
      </c>
      <c r="AR35" s="9"/>
      <c r="AS35" s="9"/>
      <c r="AT35" s="9">
        <f t="shared" si="49"/>
        <v>0</v>
      </c>
      <c r="AU35" s="9"/>
      <c r="AV35" s="9"/>
      <c r="AW35" s="9">
        <f t="shared" si="50"/>
        <v>0</v>
      </c>
      <c r="AX35" s="9">
        <v>258.10000000000002</v>
      </c>
      <c r="AY35" s="9">
        <v>397.72</v>
      </c>
      <c r="AZ35" s="9">
        <f t="shared" si="51"/>
        <v>655.82</v>
      </c>
      <c r="BA35" s="9">
        <v>457</v>
      </c>
      <c r="BB35" s="9"/>
      <c r="BC35" s="9">
        <f t="shared" si="52"/>
        <v>457</v>
      </c>
      <c r="BD35" s="9"/>
      <c r="BE35" s="9"/>
      <c r="BF35" s="9">
        <f t="shared" si="53"/>
        <v>0</v>
      </c>
      <c r="BG35" s="9"/>
      <c r="BH35" s="9">
        <v>948</v>
      </c>
      <c r="BI35" s="9">
        <f t="shared" si="54"/>
        <v>948</v>
      </c>
      <c r="BJ35" s="9"/>
      <c r="BK35" s="9"/>
      <c r="BL35" s="9">
        <f t="shared" si="66"/>
        <v>0</v>
      </c>
      <c r="BM35" s="9">
        <f>-371+3397</f>
        <v>3026</v>
      </c>
      <c r="BN35" s="9">
        <f>16294-1780</f>
        <v>14514</v>
      </c>
      <c r="BO35" s="9">
        <f t="shared" si="56"/>
        <v>17540</v>
      </c>
      <c r="BP35" s="9">
        <v>3026</v>
      </c>
      <c r="BQ35" s="9">
        <v>15757</v>
      </c>
      <c r="BR35" s="9">
        <f t="shared" si="57"/>
        <v>18783</v>
      </c>
      <c r="BS35" s="9">
        <v>13917</v>
      </c>
      <c r="BT35" s="9">
        <v>1000</v>
      </c>
      <c r="BU35" s="9">
        <f t="shared" si="58"/>
        <v>14917</v>
      </c>
      <c r="BV35" s="9"/>
      <c r="BW35" s="9"/>
      <c r="BX35" s="9">
        <v>0</v>
      </c>
      <c r="BY35" s="9">
        <v>9135</v>
      </c>
      <c r="BZ35" s="9">
        <v>12907</v>
      </c>
      <c r="CA35" s="9">
        <f t="shared" si="60"/>
        <v>22042</v>
      </c>
      <c r="CB35" s="9">
        <v>4547</v>
      </c>
      <c r="CC35" s="9">
        <v>21138</v>
      </c>
      <c r="CD35" s="9">
        <f t="shared" si="61"/>
        <v>25685</v>
      </c>
      <c r="CE35" s="9"/>
      <c r="CF35" s="9"/>
      <c r="CG35" s="9">
        <f t="shared" si="62"/>
        <v>0</v>
      </c>
      <c r="CH35" s="9"/>
      <c r="CI35" s="9"/>
      <c r="CJ35" s="9">
        <f t="shared" si="63"/>
        <v>0</v>
      </c>
      <c r="CK35" s="9"/>
      <c r="CL35" s="9"/>
      <c r="CM35" s="9">
        <f t="shared" si="64"/>
        <v>0</v>
      </c>
      <c r="CN35" s="9"/>
      <c r="CO35" s="9"/>
      <c r="CP35" s="9">
        <f t="shared" si="67"/>
        <v>0</v>
      </c>
    </row>
    <row r="36" spans="1:94" s="7" customFormat="1" x14ac:dyDescent="0.25">
      <c r="A36" s="3" t="s">
        <v>167</v>
      </c>
      <c r="B36" s="10">
        <f t="shared" ref="B36:AG36" si="69">SUM(B22:B35)</f>
        <v>13151</v>
      </c>
      <c r="C36" s="10">
        <f t="shared" si="69"/>
        <v>14068</v>
      </c>
      <c r="D36" s="10">
        <f t="shared" si="69"/>
        <v>27219</v>
      </c>
      <c r="E36" s="10">
        <f t="shared" si="69"/>
        <v>8019</v>
      </c>
      <c r="F36" s="10">
        <f t="shared" si="69"/>
        <v>17955</v>
      </c>
      <c r="G36" s="10">
        <f t="shared" si="69"/>
        <v>25974</v>
      </c>
      <c r="H36" s="10">
        <f t="shared" si="69"/>
        <v>76064</v>
      </c>
      <c r="I36" s="10">
        <f t="shared" si="69"/>
        <v>252303</v>
      </c>
      <c r="J36" s="10">
        <f t="shared" si="69"/>
        <v>328367</v>
      </c>
      <c r="K36" s="10">
        <f t="shared" si="69"/>
        <v>30537</v>
      </c>
      <c r="L36" s="10">
        <f t="shared" si="69"/>
        <v>201494</v>
      </c>
      <c r="M36" s="10">
        <f t="shared" si="69"/>
        <v>232031</v>
      </c>
      <c r="N36" s="10">
        <f t="shared" si="69"/>
        <v>5501</v>
      </c>
      <c r="O36" s="10">
        <f t="shared" si="69"/>
        <v>37422</v>
      </c>
      <c r="P36" s="10">
        <f t="shared" si="69"/>
        <v>42923</v>
      </c>
      <c r="Q36" s="10">
        <f t="shared" si="69"/>
        <v>12213</v>
      </c>
      <c r="R36" s="10">
        <f t="shared" si="69"/>
        <v>84588</v>
      </c>
      <c r="S36" s="10">
        <f t="shared" si="69"/>
        <v>96801</v>
      </c>
      <c r="T36" s="10">
        <f t="shared" si="69"/>
        <v>19888</v>
      </c>
      <c r="U36" s="10">
        <f t="shared" si="69"/>
        <v>137707</v>
      </c>
      <c r="V36" s="10">
        <f t="shared" si="69"/>
        <v>157595</v>
      </c>
      <c r="W36" s="10">
        <f t="shared" si="69"/>
        <v>54205.03</v>
      </c>
      <c r="X36" s="10">
        <f t="shared" si="69"/>
        <v>54205.03</v>
      </c>
      <c r="Y36" s="10">
        <f t="shared" si="69"/>
        <v>108410.06</v>
      </c>
      <c r="Z36" s="10">
        <f t="shared" si="69"/>
        <v>2060</v>
      </c>
      <c r="AA36" s="10">
        <f t="shared" si="69"/>
        <v>16991</v>
      </c>
      <c r="AB36" s="10">
        <f t="shared" si="69"/>
        <v>17799</v>
      </c>
      <c r="AC36" s="10">
        <f t="shared" si="69"/>
        <v>6743.72</v>
      </c>
      <c r="AD36" s="10">
        <f t="shared" si="69"/>
        <v>20752.599999999999</v>
      </c>
      <c r="AE36" s="10">
        <f t="shared" si="69"/>
        <v>21895.550000000003</v>
      </c>
      <c r="AF36" s="10">
        <f t="shared" si="69"/>
        <v>44875</v>
      </c>
      <c r="AG36" s="10">
        <f t="shared" si="69"/>
        <v>174446</v>
      </c>
      <c r="AH36" s="10">
        <f t="shared" ref="AH36:BM36" si="70">SUM(AH22:AH35)</f>
        <v>219321</v>
      </c>
      <c r="AI36" s="10">
        <f t="shared" si="70"/>
        <v>88665</v>
      </c>
      <c r="AJ36" s="10">
        <f t="shared" si="70"/>
        <v>269640</v>
      </c>
      <c r="AK36" s="10">
        <f t="shared" si="70"/>
        <v>358305</v>
      </c>
      <c r="AL36" s="10">
        <f t="shared" si="70"/>
        <v>59173</v>
      </c>
      <c r="AM36" s="10">
        <f t="shared" si="70"/>
        <v>204762</v>
      </c>
      <c r="AN36" s="10">
        <f t="shared" si="70"/>
        <v>263935</v>
      </c>
      <c r="AO36" s="10">
        <f t="shared" si="70"/>
        <v>3450</v>
      </c>
      <c r="AP36" s="10">
        <f t="shared" si="70"/>
        <v>10775</v>
      </c>
      <c r="AQ36" s="10">
        <f t="shared" si="70"/>
        <v>14225</v>
      </c>
      <c r="AR36" s="10">
        <f t="shared" si="70"/>
        <v>6235</v>
      </c>
      <c r="AS36" s="10">
        <f t="shared" si="70"/>
        <v>19816</v>
      </c>
      <c r="AT36" s="10">
        <f t="shared" si="70"/>
        <v>26051</v>
      </c>
      <c r="AU36" s="10">
        <f t="shared" si="70"/>
        <v>3888</v>
      </c>
      <c r="AV36" s="10">
        <f t="shared" si="70"/>
        <v>23308</v>
      </c>
      <c r="AW36" s="10">
        <f t="shared" si="70"/>
        <v>27196</v>
      </c>
      <c r="AX36" s="10">
        <f t="shared" si="70"/>
        <v>5863.5</v>
      </c>
      <c r="AY36" s="10">
        <f t="shared" si="70"/>
        <v>16799.45</v>
      </c>
      <c r="AZ36" s="10">
        <f t="shared" si="70"/>
        <v>22662.949999999997</v>
      </c>
      <c r="BA36" s="10">
        <f t="shared" si="70"/>
        <v>27831</v>
      </c>
      <c r="BB36" s="10">
        <f t="shared" si="70"/>
        <v>2494</v>
      </c>
      <c r="BC36" s="10">
        <f t="shared" si="70"/>
        <v>30325</v>
      </c>
      <c r="BD36" s="10">
        <f t="shared" si="70"/>
        <v>8846.7100000000009</v>
      </c>
      <c r="BE36" s="10">
        <f t="shared" si="70"/>
        <v>495640.98</v>
      </c>
      <c r="BF36" s="10">
        <f t="shared" si="70"/>
        <v>504487.68999999994</v>
      </c>
      <c r="BG36" s="10">
        <f t="shared" si="70"/>
        <v>7362</v>
      </c>
      <c r="BH36" s="10">
        <f t="shared" si="70"/>
        <v>16058</v>
      </c>
      <c r="BI36" s="10">
        <f t="shared" si="70"/>
        <v>23420</v>
      </c>
      <c r="BJ36" s="10">
        <f t="shared" si="70"/>
        <v>2183</v>
      </c>
      <c r="BK36" s="10">
        <f t="shared" si="70"/>
        <v>7502</v>
      </c>
      <c r="BL36" s="10">
        <f t="shared" si="70"/>
        <v>9685</v>
      </c>
      <c r="BM36" s="10">
        <f t="shared" si="70"/>
        <v>34420</v>
      </c>
      <c r="BN36" s="10">
        <f t="shared" ref="BN36:CP36" si="71">SUM(BN22:BN35)</f>
        <v>165076</v>
      </c>
      <c r="BO36" s="10">
        <f t="shared" si="71"/>
        <v>199496</v>
      </c>
      <c r="BP36" s="10">
        <f t="shared" si="71"/>
        <v>26175</v>
      </c>
      <c r="BQ36" s="10">
        <f t="shared" si="71"/>
        <v>136305</v>
      </c>
      <c r="BR36" s="10">
        <f t="shared" si="71"/>
        <v>162480</v>
      </c>
      <c r="BS36" s="10">
        <f t="shared" si="71"/>
        <v>14276</v>
      </c>
      <c r="BT36" s="10">
        <f t="shared" si="71"/>
        <v>75220</v>
      </c>
      <c r="BU36" s="10">
        <f t="shared" si="71"/>
        <v>89496</v>
      </c>
      <c r="BV36" s="10">
        <f t="shared" si="71"/>
        <v>4497</v>
      </c>
      <c r="BW36" s="10">
        <f t="shared" si="71"/>
        <v>26949</v>
      </c>
      <c r="BX36" s="10">
        <f t="shared" si="71"/>
        <v>31446</v>
      </c>
      <c r="BY36" s="10">
        <f t="shared" si="71"/>
        <v>71913</v>
      </c>
      <c r="BZ36" s="10">
        <f t="shared" si="71"/>
        <v>101606</v>
      </c>
      <c r="CA36" s="10">
        <f t="shared" si="71"/>
        <v>173519</v>
      </c>
      <c r="CB36" s="10">
        <f t="shared" si="71"/>
        <v>29020</v>
      </c>
      <c r="CC36" s="10">
        <f t="shared" si="71"/>
        <v>134900</v>
      </c>
      <c r="CD36" s="10">
        <f t="shared" si="71"/>
        <v>163920</v>
      </c>
      <c r="CE36" s="10">
        <f t="shared" si="71"/>
        <v>210014</v>
      </c>
      <c r="CF36" s="10">
        <f t="shared" si="71"/>
        <v>517412</v>
      </c>
      <c r="CG36" s="10">
        <f t="shared" si="71"/>
        <v>727426</v>
      </c>
      <c r="CH36" s="10">
        <f t="shared" si="71"/>
        <v>-30709</v>
      </c>
      <c r="CI36" s="10">
        <f t="shared" si="71"/>
        <v>205200</v>
      </c>
      <c r="CJ36" s="10">
        <f t="shared" si="71"/>
        <v>174491</v>
      </c>
      <c r="CK36" s="10">
        <f t="shared" si="71"/>
        <v>3070</v>
      </c>
      <c r="CL36" s="10">
        <f t="shared" si="71"/>
        <v>231386</v>
      </c>
      <c r="CM36" s="10">
        <f t="shared" si="71"/>
        <v>234456</v>
      </c>
      <c r="CN36" s="10">
        <f t="shared" si="71"/>
        <v>15747</v>
      </c>
      <c r="CO36" s="10">
        <f t="shared" si="71"/>
        <v>56654</v>
      </c>
      <c r="CP36" s="10">
        <f t="shared" si="71"/>
        <v>72401</v>
      </c>
    </row>
    <row r="37" spans="1:94" s="7" customFormat="1" x14ac:dyDescent="0.25">
      <c r="A37" s="3" t="s">
        <v>40</v>
      </c>
      <c r="B37" s="10">
        <f t="shared" ref="B37:AG37" si="72">B36+B20</f>
        <v>100645</v>
      </c>
      <c r="C37" s="10">
        <f t="shared" si="72"/>
        <v>107671</v>
      </c>
      <c r="D37" s="10">
        <f t="shared" si="72"/>
        <v>208316</v>
      </c>
      <c r="E37" s="10">
        <f t="shared" si="72"/>
        <v>82399</v>
      </c>
      <c r="F37" s="10">
        <f t="shared" si="72"/>
        <v>188658</v>
      </c>
      <c r="G37" s="10">
        <f t="shared" si="72"/>
        <v>271057</v>
      </c>
      <c r="H37" s="10">
        <f t="shared" si="72"/>
        <v>315235</v>
      </c>
      <c r="I37" s="10">
        <f t="shared" si="72"/>
        <v>1045615</v>
      </c>
      <c r="J37" s="10">
        <f t="shared" si="72"/>
        <v>1360850</v>
      </c>
      <c r="K37" s="10">
        <f t="shared" si="72"/>
        <v>649924</v>
      </c>
      <c r="L37" s="10">
        <f t="shared" si="72"/>
        <v>1898171</v>
      </c>
      <c r="M37" s="10">
        <f t="shared" si="72"/>
        <v>2548095</v>
      </c>
      <c r="N37" s="10">
        <f t="shared" si="72"/>
        <v>163787</v>
      </c>
      <c r="O37" s="10">
        <f t="shared" si="72"/>
        <v>293802</v>
      </c>
      <c r="P37" s="10">
        <f t="shared" si="72"/>
        <v>457589</v>
      </c>
      <c r="Q37" s="10">
        <f t="shared" si="72"/>
        <v>176827</v>
      </c>
      <c r="R37" s="10">
        <f t="shared" si="72"/>
        <v>1224781</v>
      </c>
      <c r="S37" s="10">
        <f t="shared" si="72"/>
        <v>1401608</v>
      </c>
      <c r="T37" s="10">
        <f t="shared" si="72"/>
        <v>154983</v>
      </c>
      <c r="U37" s="10">
        <f t="shared" si="72"/>
        <v>1013603</v>
      </c>
      <c r="V37" s="10">
        <f t="shared" si="72"/>
        <v>1168586</v>
      </c>
      <c r="W37" s="10">
        <f t="shared" si="72"/>
        <v>727596.30999999994</v>
      </c>
      <c r="X37" s="10">
        <f t="shared" si="72"/>
        <v>727596.30999999994</v>
      </c>
      <c r="Y37" s="10">
        <f t="shared" si="72"/>
        <v>1455192.6199999999</v>
      </c>
      <c r="Z37" s="10">
        <f t="shared" si="72"/>
        <v>10252</v>
      </c>
      <c r="AA37" s="10">
        <f t="shared" si="72"/>
        <v>51064</v>
      </c>
      <c r="AB37" s="10">
        <f t="shared" si="72"/>
        <v>60064</v>
      </c>
      <c r="AC37" s="10">
        <f t="shared" si="72"/>
        <v>152034.13</v>
      </c>
      <c r="AD37" s="10">
        <f t="shared" si="72"/>
        <v>467857.37999999995</v>
      </c>
      <c r="AE37" s="10">
        <f t="shared" si="72"/>
        <v>614290.74000000011</v>
      </c>
      <c r="AF37" s="10">
        <f t="shared" si="72"/>
        <v>419258</v>
      </c>
      <c r="AG37" s="10">
        <f t="shared" si="72"/>
        <v>1629834</v>
      </c>
      <c r="AH37" s="10">
        <f t="shared" ref="AH37:BM37" si="73">AH36+AH20</f>
        <v>2049092</v>
      </c>
      <c r="AI37" s="10">
        <f t="shared" si="73"/>
        <v>964208</v>
      </c>
      <c r="AJ37" s="10">
        <f t="shared" si="73"/>
        <v>3180896</v>
      </c>
      <c r="AK37" s="10">
        <f t="shared" si="73"/>
        <v>4145104</v>
      </c>
      <c r="AL37" s="10">
        <f t="shared" si="73"/>
        <v>352018</v>
      </c>
      <c r="AM37" s="10">
        <f t="shared" si="73"/>
        <v>1218112</v>
      </c>
      <c r="AN37" s="10">
        <f t="shared" si="73"/>
        <v>1570130</v>
      </c>
      <c r="AO37" s="10">
        <f t="shared" si="73"/>
        <v>38368</v>
      </c>
      <c r="AP37" s="10">
        <f t="shared" si="73"/>
        <v>123674</v>
      </c>
      <c r="AQ37" s="10">
        <f t="shared" si="73"/>
        <v>162042</v>
      </c>
      <c r="AR37" s="10">
        <f t="shared" si="73"/>
        <v>85272</v>
      </c>
      <c r="AS37" s="10">
        <f t="shared" si="73"/>
        <v>271024</v>
      </c>
      <c r="AT37" s="10">
        <f t="shared" si="73"/>
        <v>356296</v>
      </c>
      <c r="AU37" s="10">
        <f t="shared" si="73"/>
        <v>71657</v>
      </c>
      <c r="AV37" s="10">
        <f t="shared" si="73"/>
        <v>429537</v>
      </c>
      <c r="AW37" s="10">
        <f t="shared" si="73"/>
        <v>501194</v>
      </c>
      <c r="AX37" s="10">
        <f t="shared" si="73"/>
        <v>42245.69</v>
      </c>
      <c r="AY37" s="10">
        <f t="shared" si="73"/>
        <v>87950.12</v>
      </c>
      <c r="AZ37" s="10">
        <f t="shared" si="73"/>
        <v>130195.81</v>
      </c>
      <c r="BA37" s="10">
        <f t="shared" si="73"/>
        <v>112923</v>
      </c>
      <c r="BB37" s="10">
        <f t="shared" si="73"/>
        <v>200933</v>
      </c>
      <c r="BC37" s="10">
        <f t="shared" si="73"/>
        <v>313856</v>
      </c>
      <c r="BD37" s="10">
        <f t="shared" si="73"/>
        <v>58488.68</v>
      </c>
      <c r="BE37" s="10">
        <f t="shared" si="73"/>
        <v>3276858.7599999993</v>
      </c>
      <c r="BF37" s="10">
        <f t="shared" si="73"/>
        <v>3335347.44</v>
      </c>
      <c r="BG37" s="10">
        <f t="shared" si="73"/>
        <v>11918</v>
      </c>
      <c r="BH37" s="10">
        <f t="shared" si="73"/>
        <v>38610</v>
      </c>
      <c r="BI37" s="10">
        <f t="shared" si="73"/>
        <v>50528</v>
      </c>
      <c r="BJ37" s="10">
        <f t="shared" si="73"/>
        <v>20472</v>
      </c>
      <c r="BK37" s="10">
        <f t="shared" si="73"/>
        <v>70387</v>
      </c>
      <c r="BL37" s="10">
        <f t="shared" si="73"/>
        <v>90859</v>
      </c>
      <c r="BM37" s="10">
        <f t="shared" si="73"/>
        <v>286073</v>
      </c>
      <c r="BN37" s="10">
        <f t="shared" ref="BN37:CP37" si="74">BN36+BN20</f>
        <v>1371995</v>
      </c>
      <c r="BO37" s="10">
        <f t="shared" si="74"/>
        <v>1658068</v>
      </c>
      <c r="BP37" s="10">
        <f t="shared" si="74"/>
        <v>124337</v>
      </c>
      <c r="BQ37" s="10">
        <f t="shared" si="74"/>
        <v>647484</v>
      </c>
      <c r="BR37" s="10">
        <f t="shared" si="74"/>
        <v>771821</v>
      </c>
      <c r="BS37" s="10">
        <f t="shared" si="74"/>
        <v>249485</v>
      </c>
      <c r="BT37" s="10">
        <f t="shared" si="74"/>
        <v>885428</v>
      </c>
      <c r="BU37" s="10">
        <f t="shared" si="74"/>
        <v>1134913</v>
      </c>
      <c r="BV37" s="10">
        <f t="shared" si="74"/>
        <v>136636</v>
      </c>
      <c r="BW37" s="10">
        <f t="shared" si="74"/>
        <v>983778</v>
      </c>
      <c r="BX37" s="10">
        <f t="shared" si="74"/>
        <v>1120414</v>
      </c>
      <c r="BY37" s="10">
        <f t="shared" si="74"/>
        <v>500602</v>
      </c>
      <c r="BZ37" s="10">
        <f t="shared" si="74"/>
        <v>707293</v>
      </c>
      <c r="CA37" s="10">
        <f t="shared" si="74"/>
        <v>1207895</v>
      </c>
      <c r="CB37" s="10">
        <f t="shared" si="74"/>
        <v>399783</v>
      </c>
      <c r="CC37" s="10">
        <f t="shared" si="74"/>
        <v>1858355</v>
      </c>
      <c r="CD37" s="10">
        <f t="shared" si="74"/>
        <v>2258138</v>
      </c>
      <c r="CE37" s="10">
        <f t="shared" si="74"/>
        <v>2191504</v>
      </c>
      <c r="CF37" s="10">
        <f t="shared" si="74"/>
        <v>5176572</v>
      </c>
      <c r="CG37" s="10">
        <f t="shared" si="74"/>
        <v>7368076</v>
      </c>
      <c r="CH37" s="10">
        <f t="shared" si="74"/>
        <v>-500266</v>
      </c>
      <c r="CI37" s="10">
        <f t="shared" si="74"/>
        <v>3342699</v>
      </c>
      <c r="CJ37" s="10">
        <f t="shared" si="74"/>
        <v>2842433</v>
      </c>
      <c r="CK37" s="10">
        <f t="shared" si="74"/>
        <v>47056</v>
      </c>
      <c r="CL37" s="10">
        <f t="shared" si="74"/>
        <v>3545061</v>
      </c>
      <c r="CM37" s="10">
        <f t="shared" si="74"/>
        <v>3592117</v>
      </c>
      <c r="CN37" s="10">
        <f t="shared" si="74"/>
        <v>82564</v>
      </c>
      <c r="CO37" s="10">
        <f t="shared" si="74"/>
        <v>297057</v>
      </c>
      <c r="CP37" s="10">
        <f t="shared" si="74"/>
        <v>379621</v>
      </c>
    </row>
  </sheetData>
  <mergeCells count="32">
    <mergeCell ref="A3:A4"/>
    <mergeCell ref="CN3:CP3"/>
    <mergeCell ref="CE3:CG3"/>
    <mergeCell ref="CH3:CJ3"/>
    <mergeCell ref="BV3:BX3"/>
    <mergeCell ref="BY3:CA3"/>
    <mergeCell ref="CB3:CD3"/>
    <mergeCell ref="CK3:CM3"/>
    <mergeCell ref="BS3:BU3"/>
    <mergeCell ref="AU3:AW3"/>
    <mergeCell ref="N3:P3"/>
    <mergeCell ref="T3:V3"/>
    <mergeCell ref="Z3:AB3"/>
    <mergeCell ref="B3:D3"/>
    <mergeCell ref="E3:G3"/>
    <mergeCell ref="H3:J3"/>
    <mergeCell ref="K3:M3"/>
    <mergeCell ref="Q3:S3"/>
    <mergeCell ref="AO3:AQ3"/>
    <mergeCell ref="AR3:AT3"/>
    <mergeCell ref="AC3:AE3"/>
    <mergeCell ref="W3:Y3"/>
    <mergeCell ref="AF3:AH3"/>
    <mergeCell ref="AI3:AK3"/>
    <mergeCell ref="AL3:AN3"/>
    <mergeCell ref="AX3:AZ3"/>
    <mergeCell ref="BA3:BC3"/>
    <mergeCell ref="BP3:BR3"/>
    <mergeCell ref="BD3:BF3"/>
    <mergeCell ref="BG3:BI3"/>
    <mergeCell ref="BJ3:BL3"/>
    <mergeCell ref="BM3:BO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6" customWidth="1"/>
    <col min="2" max="32" width="16" style="6" customWidth="1"/>
    <col min="33" max="33" width="16" style="7" customWidth="1"/>
    <col min="34" max="16384" width="9.140625" style="6"/>
  </cols>
  <sheetData>
    <row r="1" spans="1:33" ht="18.75" x14ac:dyDescent="0.3">
      <c r="A1" s="8" t="s">
        <v>304</v>
      </c>
    </row>
    <row r="2" spans="1:33" x14ac:dyDescent="0.25">
      <c r="A2" s="5" t="s">
        <v>98</v>
      </c>
    </row>
    <row r="3" spans="1:33" x14ac:dyDescent="0.25">
      <c r="A3" s="86" t="s">
        <v>0</v>
      </c>
      <c r="B3" s="87" t="s">
        <v>1</v>
      </c>
      <c r="C3" s="87" t="s">
        <v>232</v>
      </c>
      <c r="D3" s="87" t="s">
        <v>2</v>
      </c>
      <c r="E3" s="87" t="s">
        <v>3</v>
      </c>
      <c r="F3" s="87" t="s">
        <v>241</v>
      </c>
      <c r="G3" s="87" t="s">
        <v>233</v>
      </c>
      <c r="H3" s="87" t="s">
        <v>244</v>
      </c>
      <c r="I3" s="87" t="s">
        <v>5</v>
      </c>
      <c r="J3" s="87" t="s">
        <v>4</v>
      </c>
      <c r="K3" s="87" t="s">
        <v>6</v>
      </c>
      <c r="L3" s="87" t="s">
        <v>7</v>
      </c>
      <c r="M3" s="87" t="s">
        <v>8</v>
      </c>
      <c r="N3" s="87" t="s">
        <v>9</v>
      </c>
      <c r="O3" s="87" t="s">
        <v>240</v>
      </c>
      <c r="P3" s="87" t="s">
        <v>10</v>
      </c>
      <c r="Q3" s="87" t="s">
        <v>11</v>
      </c>
      <c r="R3" s="87" t="s">
        <v>234</v>
      </c>
      <c r="S3" s="87" t="s">
        <v>12</v>
      </c>
      <c r="T3" s="87" t="s">
        <v>235</v>
      </c>
      <c r="U3" s="87" t="s">
        <v>293</v>
      </c>
      <c r="V3" s="87" t="s">
        <v>236</v>
      </c>
      <c r="W3" s="87" t="s">
        <v>239</v>
      </c>
      <c r="X3" s="87" t="s">
        <v>13</v>
      </c>
      <c r="Y3" s="87" t="s">
        <v>14</v>
      </c>
      <c r="Z3" s="87" t="s">
        <v>15</v>
      </c>
      <c r="AA3" s="87" t="s">
        <v>16</v>
      </c>
      <c r="AB3" s="87" t="s">
        <v>17</v>
      </c>
      <c r="AC3" s="87" t="s">
        <v>237</v>
      </c>
      <c r="AD3" s="87" t="s">
        <v>238</v>
      </c>
      <c r="AE3" s="87" t="s">
        <v>18</v>
      </c>
      <c r="AF3" s="87" t="s">
        <v>19</v>
      </c>
      <c r="AG3" s="88" t="s">
        <v>20</v>
      </c>
    </row>
    <row r="4" spans="1:33" x14ac:dyDescent="0.25">
      <c r="A4" s="107" t="s">
        <v>41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90"/>
    </row>
    <row r="5" spans="1:33" x14ac:dyDescent="0.25">
      <c r="A5" s="101" t="s">
        <v>42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89">
        <f t="shared" ref="AG5:AG12" si="0">SUM(B5:AF5)</f>
        <v>0</v>
      </c>
    </row>
    <row r="6" spans="1:33" x14ac:dyDescent="0.25">
      <c r="A6" s="101" t="s">
        <v>43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89">
        <f t="shared" si="0"/>
        <v>0</v>
      </c>
    </row>
    <row r="7" spans="1:33" x14ac:dyDescent="0.25">
      <c r="A7" s="101" t="s">
        <v>44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>
        <v>2224.91</v>
      </c>
      <c r="T7" s="74"/>
      <c r="U7" s="74"/>
      <c r="V7" s="74"/>
      <c r="W7" s="74"/>
      <c r="X7" s="74"/>
      <c r="Y7" s="74"/>
      <c r="Z7" s="74"/>
      <c r="AA7" s="74"/>
      <c r="AB7" s="74"/>
      <c r="AC7" s="74">
        <v>29162</v>
      </c>
      <c r="AD7" s="74"/>
      <c r="AE7" s="74">
        <v>16497</v>
      </c>
      <c r="AF7" s="74"/>
      <c r="AG7" s="89">
        <f t="shared" si="0"/>
        <v>47883.91</v>
      </c>
    </row>
    <row r="8" spans="1:33" x14ac:dyDescent="0.25">
      <c r="A8" s="101" t="s">
        <v>45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>
        <v>6</v>
      </c>
      <c r="AD8" s="74"/>
      <c r="AE8" s="74"/>
      <c r="AF8" s="74"/>
      <c r="AG8" s="89">
        <f t="shared" si="0"/>
        <v>6</v>
      </c>
    </row>
    <row r="9" spans="1:33" x14ac:dyDescent="0.25">
      <c r="A9" s="101" t="s">
        <v>46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89">
        <f t="shared" si="0"/>
        <v>0</v>
      </c>
    </row>
    <row r="10" spans="1:33" x14ac:dyDescent="0.25">
      <c r="A10" s="101" t="s">
        <v>47</v>
      </c>
      <c r="B10" s="74"/>
      <c r="C10" s="74"/>
      <c r="D10" s="74">
        <v>1500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>
        <v>3798</v>
      </c>
      <c r="AD10" s="74">
        <v>13169</v>
      </c>
      <c r="AE10" s="74">
        <v>2941</v>
      </c>
      <c r="AF10" s="74"/>
      <c r="AG10" s="89">
        <f t="shared" si="0"/>
        <v>21408</v>
      </c>
    </row>
    <row r="11" spans="1:33" x14ac:dyDescent="0.25">
      <c r="A11" s="101" t="s">
        <v>48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>
        <v>1008.18</v>
      </c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>
        <v>643</v>
      </c>
      <c r="AE11" s="74">
        <v>1140</v>
      </c>
      <c r="AF11" s="74"/>
      <c r="AG11" s="89">
        <f t="shared" si="0"/>
        <v>2791.18</v>
      </c>
    </row>
    <row r="12" spans="1:33" s="7" customFormat="1" x14ac:dyDescent="0.25">
      <c r="A12" s="105" t="s">
        <v>40</v>
      </c>
      <c r="B12" s="76">
        <f>SUM(B5:B11)</f>
        <v>0</v>
      </c>
      <c r="C12" s="76">
        <f t="shared" ref="C12:AB12" si="1">SUM(C5:C11)</f>
        <v>0</v>
      </c>
      <c r="D12" s="76">
        <f t="shared" si="1"/>
        <v>1500</v>
      </c>
      <c r="E12" s="76">
        <f t="shared" si="1"/>
        <v>0</v>
      </c>
      <c r="F12" s="76">
        <f t="shared" si="1"/>
        <v>0</v>
      </c>
      <c r="G12" s="76">
        <f t="shared" si="1"/>
        <v>0</v>
      </c>
      <c r="H12" s="76">
        <f t="shared" si="1"/>
        <v>0</v>
      </c>
      <c r="I12" s="76">
        <f t="shared" si="1"/>
        <v>0</v>
      </c>
      <c r="J12" s="76">
        <f t="shared" si="1"/>
        <v>0</v>
      </c>
      <c r="K12" s="76">
        <f t="shared" si="1"/>
        <v>0</v>
      </c>
      <c r="L12" s="76">
        <f t="shared" si="1"/>
        <v>0</v>
      </c>
      <c r="M12" s="76">
        <f t="shared" si="1"/>
        <v>0</v>
      </c>
      <c r="N12" s="76">
        <f t="shared" si="1"/>
        <v>0</v>
      </c>
      <c r="O12" s="76">
        <f t="shared" si="1"/>
        <v>0</v>
      </c>
      <c r="P12" s="76">
        <f t="shared" si="1"/>
        <v>0</v>
      </c>
      <c r="Q12" s="76">
        <f t="shared" si="1"/>
        <v>0</v>
      </c>
      <c r="R12" s="76">
        <f t="shared" si="1"/>
        <v>0</v>
      </c>
      <c r="S12" s="76">
        <f t="shared" si="1"/>
        <v>3233.0899999999997</v>
      </c>
      <c r="T12" s="76">
        <f t="shared" si="1"/>
        <v>0</v>
      </c>
      <c r="U12" s="76">
        <f t="shared" si="1"/>
        <v>0</v>
      </c>
      <c r="V12" s="76">
        <f t="shared" si="1"/>
        <v>0</v>
      </c>
      <c r="W12" s="76">
        <f t="shared" si="1"/>
        <v>0</v>
      </c>
      <c r="X12" s="76">
        <f t="shared" si="1"/>
        <v>0</v>
      </c>
      <c r="Y12" s="76">
        <f t="shared" si="1"/>
        <v>0</v>
      </c>
      <c r="Z12" s="76">
        <f t="shared" si="1"/>
        <v>0</v>
      </c>
      <c r="AA12" s="76">
        <f t="shared" si="1"/>
        <v>0</v>
      </c>
      <c r="AB12" s="76">
        <f t="shared" si="1"/>
        <v>0</v>
      </c>
      <c r="AC12" s="76">
        <f t="shared" ref="AC12:AF12" si="2">SUM(AC5:AC11)</f>
        <v>32966</v>
      </c>
      <c r="AD12" s="76">
        <f>SUM(AD5:AD11)</f>
        <v>13812</v>
      </c>
      <c r="AE12" s="76">
        <f t="shared" si="2"/>
        <v>20578</v>
      </c>
      <c r="AF12" s="76">
        <f t="shared" si="2"/>
        <v>0</v>
      </c>
      <c r="AG12" s="90">
        <f t="shared" si="0"/>
        <v>72089.09</v>
      </c>
    </row>
    <row r="13" spans="1:33" x14ac:dyDescent="0.25">
      <c r="A13" s="107" t="s">
        <v>49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90"/>
    </row>
    <row r="14" spans="1:33" x14ac:dyDescent="0.25">
      <c r="A14" s="101" t="s">
        <v>50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>
        <v>365.87</v>
      </c>
      <c r="T14" s="74"/>
      <c r="U14" s="74"/>
      <c r="V14" s="74"/>
      <c r="W14" s="74"/>
      <c r="X14" s="74"/>
      <c r="Y14" s="74"/>
      <c r="Z14" s="74"/>
      <c r="AA14" s="74"/>
      <c r="AB14" s="74"/>
      <c r="AC14" s="74">
        <v>1748</v>
      </c>
      <c r="AD14" s="74">
        <v>940</v>
      </c>
      <c r="AE14" s="74">
        <v>2941</v>
      </c>
      <c r="AF14" s="74"/>
      <c r="AG14" s="89">
        <f t="shared" ref="AG14:AG19" si="3">SUM(B14:AF14)</f>
        <v>5994.87</v>
      </c>
    </row>
    <row r="15" spans="1:33" x14ac:dyDescent="0.25">
      <c r="A15" s="101" t="s">
        <v>51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89">
        <f t="shared" si="3"/>
        <v>0</v>
      </c>
    </row>
    <row r="16" spans="1:33" x14ac:dyDescent="0.25">
      <c r="A16" s="101" t="s">
        <v>52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89">
        <f t="shared" si="3"/>
        <v>0</v>
      </c>
    </row>
    <row r="17" spans="1:33" x14ac:dyDescent="0.25">
      <c r="A17" s="101" t="s">
        <v>53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7">
        <v>2860.83</v>
      </c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>
        <v>1383</v>
      </c>
      <c r="AE17" s="74">
        <v>1540</v>
      </c>
      <c r="AF17" s="74"/>
      <c r="AG17" s="89">
        <f t="shared" si="3"/>
        <v>5783.83</v>
      </c>
    </row>
    <row r="18" spans="1:33" x14ac:dyDescent="0.25">
      <c r="A18" s="101" t="s">
        <v>54</v>
      </c>
      <c r="B18" s="74"/>
      <c r="C18" s="74"/>
      <c r="D18" s="74">
        <v>1500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>
        <v>6.39</v>
      </c>
      <c r="T18" s="74"/>
      <c r="U18" s="74"/>
      <c r="V18" s="74"/>
      <c r="W18" s="74"/>
      <c r="X18" s="74"/>
      <c r="Y18" s="74"/>
      <c r="Z18" s="74"/>
      <c r="AA18" s="74"/>
      <c r="AB18" s="74"/>
      <c r="AC18" s="74">
        <v>31219</v>
      </c>
      <c r="AD18" s="74">
        <v>11490</v>
      </c>
      <c r="AE18" s="74">
        <v>16097</v>
      </c>
      <c r="AF18" s="74"/>
      <c r="AG18" s="89">
        <f t="shared" si="3"/>
        <v>60312.39</v>
      </c>
    </row>
    <row r="19" spans="1:33" s="7" customFormat="1" x14ac:dyDescent="0.25">
      <c r="A19" s="105" t="s">
        <v>40</v>
      </c>
      <c r="B19" s="76">
        <f>SUM(B14:B18)</f>
        <v>0</v>
      </c>
      <c r="C19" s="76">
        <f t="shared" ref="C19:AB19" si="4">SUM(C14:C18)</f>
        <v>0</v>
      </c>
      <c r="D19" s="76">
        <f t="shared" si="4"/>
        <v>1500</v>
      </c>
      <c r="E19" s="76">
        <f t="shared" si="4"/>
        <v>0</v>
      </c>
      <c r="F19" s="76">
        <f t="shared" si="4"/>
        <v>0</v>
      </c>
      <c r="G19" s="76">
        <f t="shared" si="4"/>
        <v>0</v>
      </c>
      <c r="H19" s="76">
        <f t="shared" si="4"/>
        <v>0</v>
      </c>
      <c r="I19" s="76">
        <f t="shared" si="4"/>
        <v>0</v>
      </c>
      <c r="J19" s="76">
        <f t="shared" si="4"/>
        <v>0</v>
      </c>
      <c r="K19" s="76">
        <f t="shared" si="4"/>
        <v>0</v>
      </c>
      <c r="L19" s="76">
        <f t="shared" si="4"/>
        <v>0</v>
      </c>
      <c r="M19" s="76">
        <f t="shared" si="4"/>
        <v>0</v>
      </c>
      <c r="N19" s="76">
        <f t="shared" si="4"/>
        <v>0</v>
      </c>
      <c r="O19" s="76">
        <f t="shared" si="4"/>
        <v>0</v>
      </c>
      <c r="P19" s="76">
        <f t="shared" si="4"/>
        <v>0</v>
      </c>
      <c r="Q19" s="76">
        <f t="shared" si="4"/>
        <v>0</v>
      </c>
      <c r="R19" s="76">
        <f t="shared" si="4"/>
        <v>0</v>
      </c>
      <c r="S19" s="76">
        <f t="shared" si="4"/>
        <v>3233.0899999999997</v>
      </c>
      <c r="T19" s="76">
        <f t="shared" si="4"/>
        <v>0</v>
      </c>
      <c r="U19" s="76">
        <f t="shared" si="4"/>
        <v>0</v>
      </c>
      <c r="V19" s="76">
        <f t="shared" si="4"/>
        <v>0</v>
      </c>
      <c r="W19" s="76">
        <f t="shared" si="4"/>
        <v>0</v>
      </c>
      <c r="X19" s="76">
        <f t="shared" si="4"/>
        <v>0</v>
      </c>
      <c r="Y19" s="76">
        <f t="shared" si="4"/>
        <v>0</v>
      </c>
      <c r="Z19" s="76">
        <f t="shared" si="4"/>
        <v>0</v>
      </c>
      <c r="AA19" s="76">
        <f t="shared" si="4"/>
        <v>0</v>
      </c>
      <c r="AB19" s="76">
        <f t="shared" si="4"/>
        <v>0</v>
      </c>
      <c r="AC19" s="76">
        <f t="shared" ref="AC19:AF19" si="5">SUM(AC14:AC18)</f>
        <v>32967</v>
      </c>
      <c r="AD19" s="76">
        <f t="shared" si="5"/>
        <v>13813</v>
      </c>
      <c r="AE19" s="76">
        <f t="shared" si="5"/>
        <v>20578</v>
      </c>
      <c r="AF19" s="76">
        <f t="shared" si="5"/>
        <v>0</v>
      </c>
      <c r="AG19" s="90">
        <f t="shared" si="3"/>
        <v>72091.09</v>
      </c>
    </row>
    <row r="20" spans="1:33" x14ac:dyDescent="0.25">
      <c r="A20" s="107" t="s">
        <v>55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90"/>
    </row>
    <row r="21" spans="1:33" x14ac:dyDescent="0.25">
      <c r="A21" s="101" t="s">
        <v>56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89">
        <f t="shared" ref="AG21:AG28" si="6">SUM(B21:AF21)</f>
        <v>0</v>
      </c>
    </row>
    <row r="22" spans="1:33" x14ac:dyDescent="0.25">
      <c r="A22" s="101" t="s">
        <v>44</v>
      </c>
      <c r="B22" s="74"/>
      <c r="C22" s="74"/>
      <c r="D22" s="74">
        <v>1500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>
        <v>367.28</v>
      </c>
      <c r="T22" s="74"/>
      <c r="U22" s="74"/>
      <c r="V22" s="74"/>
      <c r="W22" s="74"/>
      <c r="X22" s="74"/>
      <c r="Y22" s="74"/>
      <c r="Z22" s="74"/>
      <c r="AA22" s="74"/>
      <c r="AB22" s="74"/>
      <c r="AC22" s="74">
        <v>32966</v>
      </c>
      <c r="AD22" s="74">
        <v>12406</v>
      </c>
      <c r="AE22" s="74">
        <v>19024</v>
      </c>
      <c r="AF22" s="74"/>
      <c r="AG22" s="89">
        <f t="shared" si="6"/>
        <v>66263.28</v>
      </c>
    </row>
    <row r="23" spans="1:33" x14ac:dyDescent="0.25">
      <c r="A23" s="101" t="s">
        <v>45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89">
        <f t="shared" si="6"/>
        <v>0</v>
      </c>
    </row>
    <row r="24" spans="1:33" x14ac:dyDescent="0.25">
      <c r="A24" s="101" t="s">
        <v>57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89">
        <f t="shared" si="6"/>
        <v>0</v>
      </c>
    </row>
    <row r="25" spans="1:33" x14ac:dyDescent="0.25">
      <c r="A25" s="101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>
        <v>2865.81</v>
      </c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>
        <v>1554</v>
      </c>
      <c r="AF25" s="74"/>
      <c r="AG25" s="89">
        <f t="shared" si="6"/>
        <v>4419.8099999999995</v>
      </c>
    </row>
    <row r="26" spans="1:33" x14ac:dyDescent="0.25">
      <c r="A26" s="101" t="s">
        <v>45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89">
        <f t="shared" si="6"/>
        <v>0</v>
      </c>
    </row>
    <row r="27" spans="1:33" x14ac:dyDescent="0.25">
      <c r="A27" s="101" t="s">
        <v>58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>
        <v>1406</v>
      </c>
      <c r="AE27" s="74"/>
      <c r="AF27" s="74"/>
      <c r="AG27" s="89">
        <f t="shared" si="6"/>
        <v>1406</v>
      </c>
    </row>
    <row r="28" spans="1:33" s="7" customFormat="1" x14ac:dyDescent="0.25">
      <c r="A28" s="105" t="s">
        <v>40</v>
      </c>
      <c r="B28" s="76">
        <f>SUM(B21:B27)</f>
        <v>0</v>
      </c>
      <c r="C28" s="76">
        <f t="shared" ref="C28:AB28" si="7">SUM(C21:C27)</f>
        <v>0</v>
      </c>
      <c r="D28" s="76">
        <f t="shared" si="7"/>
        <v>1500</v>
      </c>
      <c r="E28" s="76">
        <f t="shared" si="7"/>
        <v>0</v>
      </c>
      <c r="F28" s="76">
        <f t="shared" si="7"/>
        <v>0</v>
      </c>
      <c r="G28" s="76">
        <f t="shared" si="7"/>
        <v>0</v>
      </c>
      <c r="H28" s="76">
        <f t="shared" si="7"/>
        <v>0</v>
      </c>
      <c r="I28" s="76">
        <f t="shared" si="7"/>
        <v>0</v>
      </c>
      <c r="J28" s="76">
        <f t="shared" si="7"/>
        <v>0</v>
      </c>
      <c r="K28" s="76">
        <f t="shared" si="7"/>
        <v>0</v>
      </c>
      <c r="L28" s="76">
        <f t="shared" si="7"/>
        <v>0</v>
      </c>
      <c r="M28" s="76">
        <f t="shared" si="7"/>
        <v>0</v>
      </c>
      <c r="N28" s="76">
        <f t="shared" si="7"/>
        <v>0</v>
      </c>
      <c r="O28" s="76">
        <f t="shared" si="7"/>
        <v>0</v>
      </c>
      <c r="P28" s="76">
        <f t="shared" si="7"/>
        <v>0</v>
      </c>
      <c r="Q28" s="76">
        <f t="shared" si="7"/>
        <v>0</v>
      </c>
      <c r="R28" s="76">
        <f t="shared" si="7"/>
        <v>0</v>
      </c>
      <c r="S28" s="76">
        <f t="shared" si="7"/>
        <v>3233.09</v>
      </c>
      <c r="T28" s="76">
        <f t="shared" si="7"/>
        <v>0</v>
      </c>
      <c r="U28" s="76">
        <f t="shared" si="7"/>
        <v>0</v>
      </c>
      <c r="V28" s="76">
        <f t="shared" si="7"/>
        <v>0</v>
      </c>
      <c r="W28" s="76">
        <f t="shared" si="7"/>
        <v>0</v>
      </c>
      <c r="X28" s="76">
        <f t="shared" si="7"/>
        <v>0</v>
      </c>
      <c r="Y28" s="76">
        <f t="shared" si="7"/>
        <v>0</v>
      </c>
      <c r="Z28" s="76">
        <f t="shared" si="7"/>
        <v>0</v>
      </c>
      <c r="AA28" s="76">
        <f t="shared" si="7"/>
        <v>0</v>
      </c>
      <c r="AB28" s="76">
        <f t="shared" si="7"/>
        <v>0</v>
      </c>
      <c r="AC28" s="76">
        <f t="shared" ref="AC28:AF28" si="8">SUM(AC21:AC27)</f>
        <v>32966</v>
      </c>
      <c r="AD28" s="76">
        <f t="shared" si="8"/>
        <v>13812</v>
      </c>
      <c r="AE28" s="76">
        <f t="shared" si="8"/>
        <v>20578</v>
      </c>
      <c r="AF28" s="76">
        <f t="shared" si="8"/>
        <v>0</v>
      </c>
      <c r="AG28" s="90">
        <f t="shared" si="6"/>
        <v>72089.09</v>
      </c>
    </row>
    <row r="29" spans="1:33" x14ac:dyDescent="0.25">
      <c r="A29" s="107" t="s">
        <v>59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90"/>
    </row>
    <row r="30" spans="1:33" x14ac:dyDescent="0.25">
      <c r="A30" s="101" t="s">
        <v>60</v>
      </c>
      <c r="B30" s="74"/>
      <c r="C30" s="74"/>
      <c r="D30" s="74">
        <v>98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>
        <v>53.72</v>
      </c>
      <c r="T30" s="74"/>
      <c r="U30" s="74"/>
      <c r="V30" s="74"/>
      <c r="W30" s="74"/>
      <c r="X30" s="74"/>
      <c r="Y30" s="74"/>
      <c r="Z30" s="74"/>
      <c r="AA30" s="74"/>
      <c r="AB30" s="74"/>
      <c r="AC30" s="74">
        <v>407</v>
      </c>
      <c r="AD30" s="74">
        <v>341</v>
      </c>
      <c r="AE30" s="74">
        <v>784</v>
      </c>
      <c r="AF30" s="74"/>
      <c r="AG30" s="89">
        <f>SUM(B30:AF30)</f>
        <v>1683.72</v>
      </c>
    </row>
    <row r="31" spans="1:33" x14ac:dyDescent="0.25">
      <c r="A31" s="101" t="s">
        <v>61</v>
      </c>
      <c r="B31" s="74"/>
      <c r="C31" s="74"/>
      <c r="D31" s="74">
        <v>1402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>
        <v>3179.37</v>
      </c>
      <c r="T31" s="74"/>
      <c r="U31" s="74"/>
      <c r="V31" s="74"/>
      <c r="W31" s="74"/>
      <c r="X31" s="74"/>
      <c r="Y31" s="74"/>
      <c r="Z31" s="74"/>
      <c r="AA31" s="74"/>
      <c r="AB31" s="74"/>
      <c r="AC31" s="74">
        <v>32559</v>
      </c>
      <c r="AD31" s="74">
        <v>13471</v>
      </c>
      <c r="AE31" s="74">
        <v>19794</v>
      </c>
      <c r="AF31" s="74"/>
      <c r="AG31" s="89">
        <f>SUM(B31:AF31)</f>
        <v>70405.37</v>
      </c>
    </row>
    <row r="32" spans="1:33" s="7" customFormat="1" x14ac:dyDescent="0.25">
      <c r="A32" s="105" t="s">
        <v>40</v>
      </c>
      <c r="B32" s="76">
        <f>SUM(B30:B31)</f>
        <v>0</v>
      </c>
      <c r="C32" s="76">
        <f t="shared" ref="C32:AB32" si="9">SUM(C30:C31)</f>
        <v>0</v>
      </c>
      <c r="D32" s="76">
        <f t="shared" si="9"/>
        <v>1500</v>
      </c>
      <c r="E32" s="76">
        <f t="shared" si="9"/>
        <v>0</v>
      </c>
      <c r="F32" s="76">
        <f t="shared" si="9"/>
        <v>0</v>
      </c>
      <c r="G32" s="76">
        <f t="shared" si="9"/>
        <v>0</v>
      </c>
      <c r="H32" s="76">
        <f t="shared" si="9"/>
        <v>0</v>
      </c>
      <c r="I32" s="76">
        <f t="shared" si="9"/>
        <v>0</v>
      </c>
      <c r="J32" s="76">
        <f t="shared" si="9"/>
        <v>0</v>
      </c>
      <c r="K32" s="76">
        <f t="shared" si="9"/>
        <v>0</v>
      </c>
      <c r="L32" s="76">
        <f t="shared" si="9"/>
        <v>0</v>
      </c>
      <c r="M32" s="76">
        <f t="shared" si="9"/>
        <v>0</v>
      </c>
      <c r="N32" s="76">
        <f t="shared" si="9"/>
        <v>0</v>
      </c>
      <c r="O32" s="76">
        <f t="shared" si="9"/>
        <v>0</v>
      </c>
      <c r="P32" s="76">
        <f t="shared" si="9"/>
        <v>0</v>
      </c>
      <c r="Q32" s="76">
        <f t="shared" si="9"/>
        <v>0</v>
      </c>
      <c r="R32" s="76">
        <f t="shared" si="9"/>
        <v>0</v>
      </c>
      <c r="S32" s="76">
        <f t="shared" si="9"/>
        <v>3233.0899999999997</v>
      </c>
      <c r="T32" s="76">
        <f t="shared" si="9"/>
        <v>0</v>
      </c>
      <c r="U32" s="76">
        <f t="shared" si="9"/>
        <v>0</v>
      </c>
      <c r="V32" s="76">
        <f t="shared" si="9"/>
        <v>0</v>
      </c>
      <c r="W32" s="76">
        <f t="shared" si="9"/>
        <v>0</v>
      </c>
      <c r="X32" s="76">
        <f t="shared" si="9"/>
        <v>0</v>
      </c>
      <c r="Y32" s="76">
        <f t="shared" si="9"/>
        <v>0</v>
      </c>
      <c r="Z32" s="76">
        <f t="shared" si="9"/>
        <v>0</v>
      </c>
      <c r="AA32" s="76">
        <f t="shared" si="9"/>
        <v>0</v>
      </c>
      <c r="AB32" s="76">
        <f t="shared" si="9"/>
        <v>0</v>
      </c>
      <c r="AC32" s="76">
        <f t="shared" ref="AC32:AF32" si="10">SUM(AC30:AC31)</f>
        <v>32966</v>
      </c>
      <c r="AD32" s="76">
        <f t="shared" si="10"/>
        <v>13812</v>
      </c>
      <c r="AE32" s="76">
        <f t="shared" si="10"/>
        <v>20578</v>
      </c>
      <c r="AF32" s="76">
        <f t="shared" si="10"/>
        <v>0</v>
      </c>
      <c r="AG32" s="90">
        <f>SUM(B32:AF32)</f>
        <v>72089.09</v>
      </c>
    </row>
    <row r="52" spans="30:30" x14ac:dyDescent="0.25">
      <c r="AD52" s="6">
        <v>1108872</v>
      </c>
    </row>
    <row r="53" spans="30:30" x14ac:dyDescent="0.25">
      <c r="AD53" s="6">
        <v>263612</v>
      </c>
    </row>
    <row r="54" spans="30:30" x14ac:dyDescent="0.25">
      <c r="AD54" s="6">
        <f>SUM(AD52:AD53)</f>
        <v>1372484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16" width="16" style="6" customWidth="1"/>
    <col min="17" max="17" width="18.140625" style="6" customWidth="1"/>
    <col min="18" max="32" width="16" style="6" customWidth="1"/>
    <col min="33" max="33" width="16" style="7" customWidth="1"/>
    <col min="34" max="16384" width="9.140625" style="6"/>
  </cols>
  <sheetData>
    <row r="1" spans="1:33" ht="18.75" x14ac:dyDescent="0.3">
      <c r="A1" s="8" t="s">
        <v>305</v>
      </c>
    </row>
    <row r="2" spans="1:33" x14ac:dyDescent="0.25">
      <c r="A2" s="5" t="s">
        <v>98</v>
      </c>
    </row>
    <row r="3" spans="1:33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  <c r="AG3" s="49" t="s">
        <v>20</v>
      </c>
    </row>
    <row r="4" spans="1:33" x14ac:dyDescent="0.25">
      <c r="A4" s="2" t="s">
        <v>62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90">
        <f t="shared" ref="AG4:AG19" si="0">SUM(B4:AF4)</f>
        <v>0</v>
      </c>
    </row>
    <row r="5" spans="1:33" x14ac:dyDescent="0.25">
      <c r="A5" s="2" t="s">
        <v>63</v>
      </c>
      <c r="B5" s="74"/>
      <c r="C5" s="74">
        <v>10886</v>
      </c>
      <c r="D5" s="74">
        <v>1112</v>
      </c>
      <c r="E5" s="74">
        <v>3901</v>
      </c>
      <c r="F5" s="74">
        <v>2185</v>
      </c>
      <c r="G5" s="74">
        <v>1774</v>
      </c>
      <c r="H5" s="74">
        <v>141</v>
      </c>
      <c r="I5" s="74">
        <v>118.91</v>
      </c>
      <c r="J5" s="74">
        <v>841</v>
      </c>
      <c r="K5" s="74">
        <v>924</v>
      </c>
      <c r="L5" s="74">
        <v>7667</v>
      </c>
      <c r="M5" s="74">
        <v>14275</v>
      </c>
      <c r="N5" s="74">
        <v>1495</v>
      </c>
      <c r="O5" s="74">
        <v>587</v>
      </c>
      <c r="P5" s="74">
        <v>2355</v>
      </c>
      <c r="Q5" s="74">
        <v>1767</v>
      </c>
      <c r="R5" s="74">
        <v>1173.48</v>
      </c>
      <c r="S5" s="74">
        <v>1825.79</v>
      </c>
      <c r="T5" s="74"/>
      <c r="U5" s="74">
        <v>2142</v>
      </c>
      <c r="V5" s="74">
        <v>310</v>
      </c>
      <c r="W5" s="74">
        <v>6517</v>
      </c>
      <c r="X5" s="74">
        <v>1005</v>
      </c>
      <c r="Y5" s="74">
        <v>8686</v>
      </c>
      <c r="Z5" s="74">
        <v>86</v>
      </c>
      <c r="AA5" s="74">
        <v>4520</v>
      </c>
      <c r="AB5" s="74">
        <v>21049</v>
      </c>
      <c r="AC5" s="74">
        <v>5275</v>
      </c>
      <c r="AD5" s="74">
        <v>236</v>
      </c>
      <c r="AE5" s="74">
        <v>3747</v>
      </c>
      <c r="AF5" s="74">
        <v>302</v>
      </c>
      <c r="AG5" s="89">
        <f t="shared" si="0"/>
        <v>106903.18000000001</v>
      </c>
    </row>
    <row r="6" spans="1:33" x14ac:dyDescent="0.25">
      <c r="A6" s="2" t="s">
        <v>64</v>
      </c>
      <c r="B6" s="74"/>
      <c r="C6" s="74"/>
      <c r="D6" s="74"/>
      <c r="E6" s="74">
        <v>9466</v>
      </c>
      <c r="F6" s="74"/>
      <c r="G6" s="74">
        <v>766</v>
      </c>
      <c r="H6" s="74"/>
      <c r="I6" s="74">
        <v>7481.52</v>
      </c>
      <c r="J6" s="74"/>
      <c r="K6" s="74"/>
      <c r="L6" s="74"/>
      <c r="M6" s="74">
        <v>24118</v>
      </c>
      <c r="N6" s="74">
        <v>1084</v>
      </c>
      <c r="O6" s="74"/>
      <c r="P6" s="74"/>
      <c r="Q6" s="74"/>
      <c r="R6" s="74"/>
      <c r="S6" s="74">
        <v>64.52</v>
      </c>
      <c r="T6" s="74"/>
      <c r="U6" s="74"/>
      <c r="V6" s="74"/>
      <c r="W6" s="74"/>
      <c r="X6" s="74"/>
      <c r="Y6" s="74"/>
      <c r="Z6" s="74"/>
      <c r="AA6" s="74">
        <v>116</v>
      </c>
      <c r="AB6" s="74">
        <v>498</v>
      </c>
      <c r="AC6" s="74">
        <v>134390</v>
      </c>
      <c r="AD6" s="74">
        <v>595</v>
      </c>
      <c r="AE6" s="74">
        <v>1318</v>
      </c>
      <c r="AF6" s="74"/>
      <c r="AG6" s="89">
        <f t="shared" si="0"/>
        <v>179897.04</v>
      </c>
    </row>
    <row r="7" spans="1:33" x14ac:dyDescent="0.25">
      <c r="A7" s="2" t="s">
        <v>65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>
        <v>2035</v>
      </c>
      <c r="AA7" s="74"/>
      <c r="AB7" s="74"/>
      <c r="AC7" s="74"/>
      <c r="AD7" s="74"/>
      <c r="AE7" s="74">
        <v>72</v>
      </c>
      <c r="AF7" s="74"/>
      <c r="AG7" s="89">
        <f t="shared" si="0"/>
        <v>2107</v>
      </c>
    </row>
    <row r="8" spans="1:33" x14ac:dyDescent="0.25">
      <c r="A8" s="2" t="s">
        <v>66</v>
      </c>
      <c r="B8" s="74"/>
      <c r="C8" s="74">
        <v>970</v>
      </c>
      <c r="D8" s="74">
        <v>9692</v>
      </c>
      <c r="E8" s="74">
        <v>147</v>
      </c>
      <c r="F8" s="74">
        <v>58</v>
      </c>
      <c r="G8" s="74"/>
      <c r="H8" s="74">
        <v>681</v>
      </c>
      <c r="I8" s="74">
        <v>5134.9799999999996</v>
      </c>
      <c r="J8" s="74"/>
      <c r="K8" s="74">
        <v>345.48</v>
      </c>
      <c r="L8" s="74">
        <v>6</v>
      </c>
      <c r="M8" s="74"/>
      <c r="N8" s="74"/>
      <c r="O8" s="74"/>
      <c r="P8" s="74"/>
      <c r="Q8" s="77">
        <v>501</v>
      </c>
      <c r="R8" s="74">
        <v>30.55</v>
      </c>
      <c r="S8" s="74">
        <v>2837.38</v>
      </c>
      <c r="T8" s="74"/>
      <c r="U8" s="74">
        <v>997</v>
      </c>
      <c r="V8" s="74">
        <v>390</v>
      </c>
      <c r="W8" s="74">
        <v>184</v>
      </c>
      <c r="X8" s="74">
        <v>366</v>
      </c>
      <c r="Y8" s="74">
        <v>1333</v>
      </c>
      <c r="Z8" s="74">
        <v>78</v>
      </c>
      <c r="AA8" s="74"/>
      <c r="AB8" s="74">
        <v>1128</v>
      </c>
      <c r="AC8" s="74">
        <v>281858</v>
      </c>
      <c r="AD8" s="74">
        <v>33968</v>
      </c>
      <c r="AE8" s="74">
        <v>1786</v>
      </c>
      <c r="AF8" s="74"/>
      <c r="AG8" s="89">
        <f t="shared" si="0"/>
        <v>342491.39</v>
      </c>
    </row>
    <row r="9" spans="1:33" x14ac:dyDescent="0.25">
      <c r="A9" s="2" t="s">
        <v>67</v>
      </c>
      <c r="B9" s="74"/>
      <c r="C9" s="74"/>
      <c r="D9" s="74">
        <v>5386</v>
      </c>
      <c r="E9" s="74">
        <v>21881</v>
      </c>
      <c r="F9" s="74"/>
      <c r="G9" s="74">
        <v>4185</v>
      </c>
      <c r="H9" s="74">
        <v>8694</v>
      </c>
      <c r="I9" s="74">
        <v>2659.87</v>
      </c>
      <c r="J9" s="74"/>
      <c r="K9" s="74"/>
      <c r="L9" s="74">
        <v>13124</v>
      </c>
      <c r="M9" s="74">
        <v>3405</v>
      </c>
      <c r="N9" s="74">
        <v>294</v>
      </c>
      <c r="O9" s="74"/>
      <c r="P9" s="74"/>
      <c r="Q9" s="74"/>
      <c r="R9" s="74"/>
      <c r="S9" s="74">
        <v>6982.99</v>
      </c>
      <c r="T9" s="74"/>
      <c r="U9" s="74"/>
      <c r="V9" s="74"/>
      <c r="W9" s="74"/>
      <c r="X9" s="74"/>
      <c r="Y9" s="74">
        <v>10270</v>
      </c>
      <c r="Z9" s="74">
        <v>1384</v>
      </c>
      <c r="AA9" s="74">
        <v>613</v>
      </c>
      <c r="AB9" s="74">
        <v>7263</v>
      </c>
      <c r="AC9" s="74">
        <v>1451164</v>
      </c>
      <c r="AD9" s="74">
        <v>5679</v>
      </c>
      <c r="AE9" s="74">
        <v>3310</v>
      </c>
      <c r="AF9" s="74"/>
      <c r="AG9" s="89">
        <f t="shared" si="0"/>
        <v>1546294.86</v>
      </c>
    </row>
    <row r="10" spans="1:33" x14ac:dyDescent="0.25">
      <c r="A10" s="2" t="s">
        <v>68</v>
      </c>
      <c r="B10" s="74"/>
      <c r="C10" s="74">
        <v>105</v>
      </c>
      <c r="D10" s="74">
        <v>342</v>
      </c>
      <c r="E10" s="74">
        <v>821</v>
      </c>
      <c r="F10" s="74">
        <v>73</v>
      </c>
      <c r="G10" s="74">
        <v>80</v>
      </c>
      <c r="H10" s="74">
        <v>306</v>
      </c>
      <c r="I10" s="74">
        <v>517.82000000000005</v>
      </c>
      <c r="J10" s="74">
        <v>18</v>
      </c>
      <c r="K10" s="74">
        <v>117.89</v>
      </c>
      <c r="L10" s="74">
        <v>1659</v>
      </c>
      <c r="M10" s="74">
        <v>2685</v>
      </c>
      <c r="N10" s="74">
        <v>6558</v>
      </c>
      <c r="O10" s="74">
        <v>4</v>
      </c>
      <c r="P10" s="74">
        <v>7</v>
      </c>
      <c r="Q10" s="74">
        <v>134</v>
      </c>
      <c r="R10" s="74">
        <v>25.68</v>
      </c>
      <c r="S10" s="74">
        <v>893.37</v>
      </c>
      <c r="T10" s="74"/>
      <c r="U10" s="74">
        <v>205</v>
      </c>
      <c r="V10" s="74">
        <v>46</v>
      </c>
      <c r="W10" s="74">
        <v>212</v>
      </c>
      <c r="X10" s="74">
        <v>61</v>
      </c>
      <c r="Y10" s="74">
        <v>477</v>
      </c>
      <c r="Z10" s="74">
        <v>296</v>
      </c>
      <c r="AA10" s="74">
        <v>1274</v>
      </c>
      <c r="AB10" s="74">
        <v>135</v>
      </c>
      <c r="AC10" s="74">
        <v>278183</v>
      </c>
      <c r="AD10" s="74">
        <v>626</v>
      </c>
      <c r="AE10" s="74">
        <v>373</v>
      </c>
      <c r="AF10" s="74">
        <v>40</v>
      </c>
      <c r="AG10" s="89">
        <f t="shared" si="0"/>
        <v>296274.76</v>
      </c>
    </row>
    <row r="11" spans="1:33" x14ac:dyDescent="0.25">
      <c r="A11" s="2" t="s">
        <v>69</v>
      </c>
      <c r="B11" s="74">
        <v>537</v>
      </c>
      <c r="C11" s="74">
        <v>693</v>
      </c>
      <c r="D11" s="74">
        <v>1722</v>
      </c>
      <c r="E11" s="74">
        <v>2764</v>
      </c>
      <c r="F11" s="74">
        <v>2383</v>
      </c>
      <c r="G11" s="74">
        <v>1484</v>
      </c>
      <c r="H11" s="74">
        <v>1442</v>
      </c>
      <c r="I11" s="74">
        <v>394.69</v>
      </c>
      <c r="J11" s="74">
        <v>104</v>
      </c>
      <c r="K11" s="74">
        <v>1105.2</v>
      </c>
      <c r="L11" s="74">
        <v>5629</v>
      </c>
      <c r="M11" s="74">
        <v>3163</v>
      </c>
      <c r="N11" s="74">
        <v>1476</v>
      </c>
      <c r="O11" s="74">
        <v>784</v>
      </c>
      <c r="P11" s="74">
        <v>924</v>
      </c>
      <c r="Q11" s="74">
        <v>920</v>
      </c>
      <c r="R11" s="74">
        <v>525.4</v>
      </c>
      <c r="S11" s="74">
        <v>6062.41</v>
      </c>
      <c r="T11" s="74"/>
      <c r="U11" s="74">
        <f>170+604</f>
        <v>774</v>
      </c>
      <c r="V11" s="74">
        <v>107</v>
      </c>
      <c r="W11" s="74">
        <v>851</v>
      </c>
      <c r="X11" s="74">
        <f>271+544</f>
        <v>815</v>
      </c>
      <c r="Y11" s="74">
        <v>1807</v>
      </c>
      <c r="Z11" s="74">
        <v>415</v>
      </c>
      <c r="AA11" s="74">
        <v>2711</v>
      </c>
      <c r="AB11" s="74">
        <v>3417</v>
      </c>
      <c r="AC11" s="74">
        <v>676802</v>
      </c>
      <c r="AD11" s="74">
        <v>3174</v>
      </c>
      <c r="AE11" s="74">
        <v>9665</v>
      </c>
      <c r="AF11" s="74">
        <v>1177</v>
      </c>
      <c r="AG11" s="89">
        <f t="shared" si="0"/>
        <v>733827.7</v>
      </c>
    </row>
    <row r="12" spans="1:33" x14ac:dyDescent="0.25">
      <c r="A12" s="2" t="s">
        <v>70</v>
      </c>
      <c r="B12" s="74"/>
      <c r="C12" s="74">
        <v>339</v>
      </c>
      <c r="D12" s="74">
        <v>168</v>
      </c>
      <c r="E12" s="74">
        <v>783</v>
      </c>
      <c r="F12" s="74"/>
      <c r="G12" s="74">
        <v>494</v>
      </c>
      <c r="H12" s="74"/>
      <c r="I12" s="74">
        <v>680.64</v>
      </c>
      <c r="J12" s="74"/>
      <c r="K12" s="74">
        <v>70.39</v>
      </c>
      <c r="L12" s="74">
        <v>1319</v>
      </c>
      <c r="M12" s="74">
        <v>456</v>
      </c>
      <c r="N12" s="74">
        <v>80</v>
      </c>
      <c r="O12" s="74">
        <v>140</v>
      </c>
      <c r="P12" s="74">
        <v>14</v>
      </c>
      <c r="Q12" s="74">
        <v>7</v>
      </c>
      <c r="R12" s="74"/>
      <c r="S12" s="74">
        <v>3852.46</v>
      </c>
      <c r="T12" s="74"/>
      <c r="U12" s="74"/>
      <c r="V12" s="74">
        <v>60</v>
      </c>
      <c r="W12" s="74">
        <v>31</v>
      </c>
      <c r="X12" s="74">
        <v>34</v>
      </c>
      <c r="Y12" s="74"/>
      <c r="Z12" s="74">
        <v>1</v>
      </c>
      <c r="AA12" s="74">
        <v>182</v>
      </c>
      <c r="AB12" s="74">
        <v>124</v>
      </c>
      <c r="AC12" s="74">
        <v>980998</v>
      </c>
      <c r="AD12" s="74">
        <v>2206</v>
      </c>
      <c r="AE12" s="74">
        <v>2223</v>
      </c>
      <c r="AF12" s="74">
        <v>40</v>
      </c>
      <c r="AG12" s="89">
        <f t="shared" si="0"/>
        <v>994302.49</v>
      </c>
    </row>
    <row r="13" spans="1:33" x14ac:dyDescent="0.25">
      <c r="A13" s="2" t="s">
        <v>71</v>
      </c>
      <c r="B13" s="74">
        <v>1</v>
      </c>
      <c r="C13" s="74">
        <v>174</v>
      </c>
      <c r="D13" s="74">
        <v>40</v>
      </c>
      <c r="E13" s="74">
        <v>392</v>
      </c>
      <c r="F13" s="74">
        <v>347</v>
      </c>
      <c r="G13" s="74">
        <v>40</v>
      </c>
      <c r="H13" s="74">
        <v>552</v>
      </c>
      <c r="I13" s="74">
        <v>126.18</v>
      </c>
      <c r="J13" s="74">
        <v>7</v>
      </c>
      <c r="K13" s="74">
        <v>205.58</v>
      </c>
      <c r="L13" s="74">
        <v>739</v>
      </c>
      <c r="M13" s="74">
        <v>3807</v>
      </c>
      <c r="N13" s="74">
        <v>1611</v>
      </c>
      <c r="O13" s="74">
        <v>11</v>
      </c>
      <c r="P13" s="74">
        <v>71</v>
      </c>
      <c r="Q13" s="74">
        <v>83</v>
      </c>
      <c r="R13" s="74">
        <v>35.39</v>
      </c>
      <c r="S13" s="74">
        <v>131.66</v>
      </c>
      <c r="T13" s="74">
        <v>7</v>
      </c>
      <c r="U13" s="74">
        <v>592</v>
      </c>
      <c r="V13" s="74">
        <v>12</v>
      </c>
      <c r="W13" s="74">
        <v>493</v>
      </c>
      <c r="X13" s="74">
        <v>112</v>
      </c>
      <c r="Y13" s="74">
        <v>869</v>
      </c>
      <c r="Z13" s="74">
        <v>144</v>
      </c>
      <c r="AA13" s="74">
        <v>974</v>
      </c>
      <c r="AB13" s="74">
        <v>180</v>
      </c>
      <c r="AC13" s="74">
        <v>12580</v>
      </c>
      <c r="AD13" s="74">
        <v>104</v>
      </c>
      <c r="AE13" s="74">
        <v>158</v>
      </c>
      <c r="AF13" s="74">
        <v>50</v>
      </c>
      <c r="AG13" s="89">
        <f t="shared" si="0"/>
        <v>24648.809999999998</v>
      </c>
    </row>
    <row r="14" spans="1:33" x14ac:dyDescent="0.25">
      <c r="A14" s="2" t="s">
        <v>72</v>
      </c>
      <c r="B14" s="74"/>
      <c r="C14" s="74"/>
      <c r="D14" s="74">
        <v>43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>
        <v>88</v>
      </c>
      <c r="R14" s="74"/>
      <c r="S14" s="74">
        <v>733.17</v>
      </c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>
        <v>383</v>
      </c>
      <c r="AF14" s="74"/>
      <c r="AG14" s="89">
        <f t="shared" si="0"/>
        <v>1247.17</v>
      </c>
    </row>
    <row r="15" spans="1:33" x14ac:dyDescent="0.25">
      <c r="A15" s="2" t="s">
        <v>73</v>
      </c>
      <c r="B15" s="74">
        <f>B16-B14-B13-B12-B11-B10-B9-B8-B7-B6-B5-B4</f>
        <v>0</v>
      </c>
      <c r="C15" s="74">
        <f t="shared" ref="C15:AB15" si="1">C16-C14-C13-C12-C11-C10-C9-C8-C7-C6-C5-C4</f>
        <v>0</v>
      </c>
      <c r="D15" s="74">
        <f t="shared" si="1"/>
        <v>1</v>
      </c>
      <c r="E15" s="74">
        <f t="shared" si="1"/>
        <v>0</v>
      </c>
      <c r="F15" s="74">
        <f t="shared" si="1"/>
        <v>0</v>
      </c>
      <c r="G15" s="74">
        <f>G16-G14-G13-G12-G11-G10-G9-G8-G7-G6-G5-G4</f>
        <v>381</v>
      </c>
      <c r="H15" s="74">
        <f t="shared" si="1"/>
        <v>629</v>
      </c>
      <c r="I15" s="74">
        <f t="shared" si="1"/>
        <v>-1.4210854715202004E-13</v>
      </c>
      <c r="J15" s="74">
        <f t="shared" si="1"/>
        <v>26</v>
      </c>
      <c r="K15" s="74">
        <f t="shared" si="1"/>
        <v>0</v>
      </c>
      <c r="L15" s="74">
        <f t="shared" si="1"/>
        <v>-2</v>
      </c>
      <c r="M15" s="74">
        <f t="shared" si="1"/>
        <v>0</v>
      </c>
      <c r="N15" s="74">
        <f t="shared" si="1"/>
        <v>270</v>
      </c>
      <c r="O15" s="74">
        <f t="shared" si="1"/>
        <v>2</v>
      </c>
      <c r="P15" s="74">
        <f t="shared" si="1"/>
        <v>139</v>
      </c>
      <c r="Q15" s="74">
        <f t="shared" si="1"/>
        <v>-1</v>
      </c>
      <c r="R15" s="74">
        <f t="shared" si="1"/>
        <v>0</v>
      </c>
      <c r="S15" s="74">
        <f t="shared" si="1"/>
        <v>14.460000000001401</v>
      </c>
      <c r="T15" s="74">
        <f t="shared" si="1"/>
        <v>0</v>
      </c>
      <c r="U15" s="74">
        <f t="shared" si="1"/>
        <v>0</v>
      </c>
      <c r="V15" s="74">
        <f t="shared" si="1"/>
        <v>-1</v>
      </c>
      <c r="W15" s="74">
        <f t="shared" si="1"/>
        <v>0</v>
      </c>
      <c r="X15" s="74">
        <f t="shared" si="1"/>
        <v>-1</v>
      </c>
      <c r="Y15" s="74">
        <f t="shared" si="1"/>
        <v>0</v>
      </c>
      <c r="Z15" s="74">
        <f t="shared" si="1"/>
        <v>-1</v>
      </c>
      <c r="AA15" s="74">
        <f t="shared" si="1"/>
        <v>1</v>
      </c>
      <c r="AB15" s="74">
        <f t="shared" si="1"/>
        <v>0</v>
      </c>
      <c r="AC15" s="74">
        <f t="shared" ref="AC15:AF15" si="2">AC16-AC14-AC13-AC12-AC11-AC10-AC9-AC8-AC7-AC6-AC5-AC4</f>
        <v>186877</v>
      </c>
      <c r="AD15" s="74">
        <f t="shared" si="2"/>
        <v>658</v>
      </c>
      <c r="AE15" s="74">
        <f t="shared" si="2"/>
        <v>483</v>
      </c>
      <c r="AF15" s="74">
        <f t="shared" si="2"/>
        <v>0</v>
      </c>
      <c r="AG15" s="89">
        <f t="shared" si="0"/>
        <v>189475.46</v>
      </c>
    </row>
    <row r="16" spans="1:33" s="7" customFormat="1" x14ac:dyDescent="0.25">
      <c r="A16" s="3" t="s">
        <v>40</v>
      </c>
      <c r="B16" s="3">
        <v>538</v>
      </c>
      <c r="C16" s="3">
        <v>13167</v>
      </c>
      <c r="D16" s="3">
        <v>18506</v>
      </c>
      <c r="E16" s="3">
        <v>40155</v>
      </c>
      <c r="F16" s="3">
        <v>5046</v>
      </c>
      <c r="G16" s="3">
        <v>9204</v>
      </c>
      <c r="H16" s="3">
        <v>12445</v>
      </c>
      <c r="I16" s="3">
        <v>17114.61</v>
      </c>
      <c r="J16" s="3">
        <v>996</v>
      </c>
      <c r="K16" s="3">
        <v>2768.54</v>
      </c>
      <c r="L16" s="3">
        <v>30141</v>
      </c>
      <c r="M16" s="3">
        <v>51909</v>
      </c>
      <c r="N16" s="3">
        <v>12868</v>
      </c>
      <c r="O16" s="3">
        <v>1528</v>
      </c>
      <c r="P16" s="3">
        <v>3510</v>
      </c>
      <c r="Q16" s="3">
        <v>3499</v>
      </c>
      <c r="R16" s="3">
        <v>1790.5</v>
      </c>
      <c r="S16" s="3">
        <v>23398.21</v>
      </c>
      <c r="T16" s="3">
        <v>7</v>
      </c>
      <c r="U16" s="3">
        <v>4710</v>
      </c>
      <c r="V16" s="3">
        <v>924</v>
      </c>
      <c r="W16" s="3">
        <v>8288</v>
      </c>
      <c r="X16" s="3">
        <v>2392</v>
      </c>
      <c r="Y16" s="3">
        <v>23442</v>
      </c>
      <c r="Z16" s="3">
        <v>4438</v>
      </c>
      <c r="AA16" s="3">
        <v>10391</v>
      </c>
      <c r="AB16" s="3">
        <v>33794</v>
      </c>
      <c r="AC16" s="3">
        <v>4008127</v>
      </c>
      <c r="AD16" s="3">
        <v>47246</v>
      </c>
      <c r="AE16" s="3">
        <v>23518</v>
      </c>
      <c r="AF16" s="3">
        <v>1609</v>
      </c>
      <c r="AG16" s="90">
        <f t="shared" si="0"/>
        <v>4417469.8600000003</v>
      </c>
    </row>
    <row r="17" spans="1:33" x14ac:dyDescent="0.25">
      <c r="A17" s="2" t="s">
        <v>74</v>
      </c>
      <c r="B17" s="74"/>
      <c r="C17" s="96">
        <v>99</v>
      </c>
      <c r="D17" s="74"/>
      <c r="E17" s="74">
        <v>3763</v>
      </c>
      <c r="F17" s="74">
        <v>295</v>
      </c>
      <c r="G17" s="74">
        <v>717</v>
      </c>
      <c r="H17" s="74">
        <v>2740</v>
      </c>
      <c r="I17" s="74">
        <v>19447.759999999998</v>
      </c>
      <c r="J17" s="74">
        <v>1900</v>
      </c>
      <c r="K17" s="74">
        <v>3253.07</v>
      </c>
      <c r="L17" s="74">
        <v>1959</v>
      </c>
      <c r="M17" s="74">
        <v>3147</v>
      </c>
      <c r="N17" s="74">
        <v>6050</v>
      </c>
      <c r="O17" s="74">
        <v>71</v>
      </c>
      <c r="P17" s="74">
        <v>690</v>
      </c>
      <c r="Q17" s="74">
        <v>270</v>
      </c>
      <c r="R17" s="74">
        <v>367.61</v>
      </c>
      <c r="S17" s="74">
        <v>32057.919999999998</v>
      </c>
      <c r="T17" s="74"/>
      <c r="U17" s="74">
        <v>1014</v>
      </c>
      <c r="V17" s="74"/>
      <c r="W17" s="74">
        <v>1469</v>
      </c>
      <c r="X17" s="74">
        <v>230</v>
      </c>
      <c r="Y17" s="74">
        <v>2181</v>
      </c>
      <c r="Z17" s="74"/>
      <c r="AA17" s="74">
        <v>527</v>
      </c>
      <c r="AB17" s="74">
        <v>1486</v>
      </c>
      <c r="AC17" s="74">
        <v>208360</v>
      </c>
      <c r="AD17" s="74">
        <v>4221</v>
      </c>
      <c r="AE17" s="74">
        <v>18197</v>
      </c>
      <c r="AF17" s="74">
        <v>2905</v>
      </c>
      <c r="AG17" s="89">
        <f t="shared" si="0"/>
        <v>317417.36</v>
      </c>
    </row>
    <row r="18" spans="1:33" ht="30" x14ac:dyDescent="0.25">
      <c r="A18" s="2" t="s">
        <v>75</v>
      </c>
      <c r="B18" s="74"/>
      <c r="C18" s="96">
        <v>21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89">
        <f t="shared" si="0"/>
        <v>21</v>
      </c>
    </row>
    <row r="19" spans="1:33" s="7" customFormat="1" x14ac:dyDescent="0.25">
      <c r="A19" s="3" t="s">
        <v>76</v>
      </c>
      <c r="B19" s="76">
        <f>B16+B17+B18</f>
        <v>538</v>
      </c>
      <c r="C19" s="97">
        <f t="shared" ref="C19:AB19" si="3">C16+C17+C18</f>
        <v>13287</v>
      </c>
      <c r="D19" s="76">
        <f t="shared" si="3"/>
        <v>18506</v>
      </c>
      <c r="E19" s="76">
        <f t="shared" si="3"/>
        <v>43918</v>
      </c>
      <c r="F19" s="76">
        <f t="shared" si="3"/>
        <v>5341</v>
      </c>
      <c r="G19" s="76">
        <f t="shared" si="3"/>
        <v>9921</v>
      </c>
      <c r="H19" s="76">
        <f t="shared" si="3"/>
        <v>15185</v>
      </c>
      <c r="I19" s="76">
        <f t="shared" si="3"/>
        <v>36562.369999999995</v>
      </c>
      <c r="J19" s="76">
        <f t="shared" si="3"/>
        <v>2896</v>
      </c>
      <c r="K19" s="76">
        <f t="shared" si="3"/>
        <v>6021.6100000000006</v>
      </c>
      <c r="L19" s="76">
        <f t="shared" si="3"/>
        <v>32100</v>
      </c>
      <c r="M19" s="76">
        <f t="shared" si="3"/>
        <v>55056</v>
      </c>
      <c r="N19" s="76">
        <f t="shared" si="3"/>
        <v>18918</v>
      </c>
      <c r="O19" s="76">
        <f t="shared" si="3"/>
        <v>1599</v>
      </c>
      <c r="P19" s="76">
        <f t="shared" si="3"/>
        <v>4200</v>
      </c>
      <c r="Q19" s="76">
        <f t="shared" si="3"/>
        <v>3769</v>
      </c>
      <c r="R19" s="76">
        <f t="shared" si="3"/>
        <v>2158.11</v>
      </c>
      <c r="S19" s="76">
        <f t="shared" si="3"/>
        <v>55456.13</v>
      </c>
      <c r="T19" s="76">
        <f t="shared" si="3"/>
        <v>7</v>
      </c>
      <c r="U19" s="76">
        <f t="shared" si="3"/>
        <v>5724</v>
      </c>
      <c r="V19" s="76">
        <f t="shared" si="3"/>
        <v>924</v>
      </c>
      <c r="W19" s="76">
        <f t="shared" si="3"/>
        <v>9757</v>
      </c>
      <c r="X19" s="76">
        <f t="shared" si="3"/>
        <v>2622</v>
      </c>
      <c r="Y19" s="76">
        <f t="shared" si="3"/>
        <v>25623</v>
      </c>
      <c r="Z19" s="76">
        <f t="shared" si="3"/>
        <v>4438</v>
      </c>
      <c r="AA19" s="76">
        <f t="shared" si="3"/>
        <v>10918</v>
      </c>
      <c r="AB19" s="76">
        <f t="shared" si="3"/>
        <v>35280</v>
      </c>
      <c r="AC19" s="76">
        <f t="shared" ref="AC19:AF19" si="4">AC16+AC17+AC18</f>
        <v>4216487</v>
      </c>
      <c r="AD19" s="76">
        <f t="shared" si="4"/>
        <v>51467</v>
      </c>
      <c r="AE19" s="76">
        <f t="shared" si="4"/>
        <v>41715</v>
      </c>
      <c r="AF19" s="76">
        <f t="shared" si="4"/>
        <v>4514</v>
      </c>
      <c r="AG19" s="90">
        <f t="shared" si="0"/>
        <v>4734908.22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6" customWidth="1"/>
    <col min="2" max="32" width="16" style="6" customWidth="1"/>
    <col min="33" max="33" width="16" style="29" customWidth="1"/>
    <col min="34" max="16384" width="9.140625" style="6"/>
  </cols>
  <sheetData>
    <row r="1" spans="1:33" ht="18.75" x14ac:dyDescent="0.3">
      <c r="A1" s="8" t="s">
        <v>306</v>
      </c>
    </row>
    <row r="2" spans="1:33" x14ac:dyDescent="0.25">
      <c r="A2" s="5" t="s">
        <v>98</v>
      </c>
    </row>
    <row r="3" spans="1:33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  <c r="AG3" s="49" t="s">
        <v>20</v>
      </c>
    </row>
    <row r="4" spans="1:33" ht="15" customHeight="1" x14ac:dyDescent="0.25">
      <c r="A4" s="2" t="s">
        <v>77</v>
      </c>
      <c r="B4" s="74">
        <v>8</v>
      </c>
      <c r="C4" s="74">
        <v>57</v>
      </c>
      <c r="D4" s="74">
        <v>1</v>
      </c>
      <c r="E4" s="74">
        <v>2978</v>
      </c>
      <c r="F4" s="74">
        <v>222</v>
      </c>
      <c r="G4" s="74">
        <v>282</v>
      </c>
      <c r="H4" s="74">
        <v>2368</v>
      </c>
      <c r="I4" s="74">
        <v>2.93</v>
      </c>
      <c r="J4" s="74">
        <v>4</v>
      </c>
      <c r="K4" s="74">
        <v>537.30999999999995</v>
      </c>
      <c r="L4" s="74">
        <v>1690</v>
      </c>
      <c r="M4" s="74">
        <v>849</v>
      </c>
      <c r="N4" s="74">
        <v>147</v>
      </c>
      <c r="O4" s="74">
        <v>191</v>
      </c>
      <c r="P4" s="74">
        <v>128</v>
      </c>
      <c r="Q4" s="74"/>
      <c r="R4" s="74">
        <v>50.29</v>
      </c>
      <c r="S4" s="74">
        <v>861.22</v>
      </c>
      <c r="T4" s="74">
        <v>23</v>
      </c>
      <c r="U4" s="74">
        <v>124</v>
      </c>
      <c r="V4" s="74">
        <v>3</v>
      </c>
      <c r="W4" s="74">
        <v>108</v>
      </c>
      <c r="X4" s="74">
        <v>542</v>
      </c>
      <c r="Y4" s="74">
        <v>500</v>
      </c>
      <c r="Z4" s="74">
        <v>228</v>
      </c>
      <c r="AA4" s="74">
        <v>4339</v>
      </c>
      <c r="AB4" s="74">
        <v>747</v>
      </c>
      <c r="AC4" s="74">
        <v>194</v>
      </c>
      <c r="AD4" s="74">
        <v>317</v>
      </c>
      <c r="AE4" s="74">
        <v>1907</v>
      </c>
      <c r="AF4" s="74">
        <v>32</v>
      </c>
      <c r="AG4" s="89">
        <f t="shared" ref="AG4:AG16" si="0">SUM(B4:AF4)</f>
        <v>19440.75</v>
      </c>
    </row>
    <row r="5" spans="1:33" x14ac:dyDescent="0.25">
      <c r="A5" s="2" t="s">
        <v>78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89">
        <f t="shared" si="0"/>
        <v>0</v>
      </c>
    </row>
    <row r="6" spans="1:33" x14ac:dyDescent="0.25">
      <c r="A6" s="2" t="s">
        <v>79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89">
        <f t="shared" si="0"/>
        <v>0</v>
      </c>
    </row>
    <row r="7" spans="1:33" ht="15" customHeight="1" x14ac:dyDescent="0.25">
      <c r="A7" s="2" t="s">
        <v>80</v>
      </c>
      <c r="B7" s="74"/>
      <c r="C7" s="74">
        <v>7</v>
      </c>
      <c r="D7" s="74">
        <v>235202</v>
      </c>
      <c r="E7" s="74">
        <v>26456</v>
      </c>
      <c r="F7" s="74">
        <v>106</v>
      </c>
      <c r="G7" s="74"/>
      <c r="H7" s="74"/>
      <c r="I7" s="74">
        <v>117021</v>
      </c>
      <c r="J7" s="74"/>
      <c r="K7" s="74"/>
      <c r="L7" s="74">
        <v>730</v>
      </c>
      <c r="M7" s="74">
        <v>2113</v>
      </c>
      <c r="N7" s="74"/>
      <c r="O7" s="74"/>
      <c r="P7" s="74">
        <v>308</v>
      </c>
      <c r="Q7" s="74"/>
      <c r="R7" s="74"/>
      <c r="S7" s="74">
        <v>17276.14</v>
      </c>
      <c r="T7" s="74">
        <v>10</v>
      </c>
      <c r="U7" s="74">
        <v>4470</v>
      </c>
      <c r="V7" s="74">
        <v>5</v>
      </c>
      <c r="W7" s="74">
        <v>189</v>
      </c>
      <c r="X7" s="74"/>
      <c r="Y7" s="74"/>
      <c r="Z7" s="74"/>
      <c r="AA7" s="74"/>
      <c r="AB7" s="74">
        <v>12</v>
      </c>
      <c r="AC7" s="74">
        <v>60645</v>
      </c>
      <c r="AD7" s="74">
        <v>91815</v>
      </c>
      <c r="AE7" s="74">
        <v>55954</v>
      </c>
      <c r="AF7" s="74"/>
      <c r="AG7" s="89">
        <f t="shared" si="0"/>
        <v>612319.14</v>
      </c>
    </row>
    <row r="8" spans="1:33" x14ac:dyDescent="0.25">
      <c r="A8" s="2" t="s">
        <v>81</v>
      </c>
      <c r="B8" s="74"/>
      <c r="C8" s="74">
        <v>32</v>
      </c>
      <c r="D8" s="74"/>
      <c r="E8" s="74">
        <v>25</v>
      </c>
      <c r="F8" s="74">
        <v>25</v>
      </c>
      <c r="G8" s="74"/>
      <c r="H8" s="74">
        <v>25</v>
      </c>
      <c r="I8" s="74">
        <v>22000</v>
      </c>
      <c r="J8" s="74"/>
      <c r="K8" s="74">
        <v>28.37</v>
      </c>
      <c r="L8" s="74">
        <v>31</v>
      </c>
      <c r="M8" s="74"/>
      <c r="N8" s="74"/>
      <c r="O8" s="74"/>
      <c r="P8" s="74"/>
      <c r="Q8" s="74"/>
      <c r="R8" s="74">
        <v>25</v>
      </c>
      <c r="S8" s="74"/>
      <c r="T8" s="74"/>
      <c r="U8" s="74"/>
      <c r="V8" s="74"/>
      <c r="W8" s="74"/>
      <c r="X8" s="74"/>
      <c r="Y8" s="74">
        <v>30</v>
      </c>
      <c r="Z8" s="74"/>
      <c r="AA8" s="74"/>
      <c r="AB8" s="74">
        <v>241</v>
      </c>
      <c r="AC8" s="74">
        <v>707249</v>
      </c>
      <c r="AD8" s="74"/>
      <c r="AE8" s="74"/>
      <c r="AF8" s="74"/>
      <c r="AG8" s="89">
        <f t="shared" si="0"/>
        <v>729711.37</v>
      </c>
    </row>
    <row r="9" spans="1:33" x14ac:dyDescent="0.25">
      <c r="A9" s="2" t="s">
        <v>82</v>
      </c>
      <c r="B9" s="74">
        <v>634</v>
      </c>
      <c r="C9" s="74">
        <v>2391</v>
      </c>
      <c r="D9" s="74">
        <v>74983</v>
      </c>
      <c r="E9" s="74">
        <v>21096</v>
      </c>
      <c r="F9" s="74">
        <v>7495</v>
      </c>
      <c r="G9" s="74">
        <v>1600</v>
      </c>
      <c r="H9" s="74">
        <v>11647</v>
      </c>
      <c r="I9" s="74">
        <v>395.29</v>
      </c>
      <c r="J9" s="74">
        <v>1028</v>
      </c>
      <c r="K9" s="74">
        <v>5213.16</v>
      </c>
      <c r="L9" s="74">
        <v>14979</v>
      </c>
      <c r="M9" s="74">
        <v>17828</v>
      </c>
      <c r="N9" s="74">
        <v>4333</v>
      </c>
      <c r="O9" s="74">
        <v>1360</v>
      </c>
      <c r="P9" s="74">
        <v>198</v>
      </c>
      <c r="Q9" s="74">
        <v>5412</v>
      </c>
      <c r="R9" s="74">
        <v>520.32000000000005</v>
      </c>
      <c r="S9" s="74">
        <v>50542.74</v>
      </c>
      <c r="T9" s="74">
        <v>148</v>
      </c>
      <c r="U9" s="74">
        <v>4517</v>
      </c>
      <c r="V9" s="74">
        <v>109</v>
      </c>
      <c r="W9" s="74">
        <v>5666</v>
      </c>
      <c r="X9" s="74">
        <v>2804</v>
      </c>
      <c r="Y9" s="74">
        <v>8820</v>
      </c>
      <c r="Z9" s="74">
        <v>1626</v>
      </c>
      <c r="AA9" s="74">
        <v>12912</v>
      </c>
      <c r="AB9" s="74">
        <v>25307</v>
      </c>
      <c r="AC9" s="74">
        <v>151268</v>
      </c>
      <c r="AD9" s="74">
        <v>100439</v>
      </c>
      <c r="AE9" s="74">
        <v>20836</v>
      </c>
      <c r="AF9" s="74">
        <v>23213</v>
      </c>
      <c r="AG9" s="89">
        <f t="shared" si="0"/>
        <v>579320.51</v>
      </c>
    </row>
    <row r="10" spans="1:33" x14ac:dyDescent="0.25">
      <c r="A10" s="2" t="s">
        <v>83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>
        <v>3635</v>
      </c>
      <c r="X10" s="74"/>
      <c r="Y10" s="74"/>
      <c r="Z10" s="74"/>
      <c r="AA10" s="74"/>
      <c r="AB10" s="74"/>
      <c r="AC10" s="74"/>
      <c r="AD10" s="74"/>
      <c r="AE10" s="74"/>
      <c r="AF10" s="74"/>
      <c r="AG10" s="89">
        <f t="shared" si="0"/>
        <v>3635</v>
      </c>
    </row>
    <row r="11" spans="1:33" x14ac:dyDescent="0.25">
      <c r="A11" s="2" t="s">
        <v>84</v>
      </c>
      <c r="B11" s="74"/>
      <c r="C11" s="74"/>
      <c r="D11" s="74"/>
      <c r="E11" s="74"/>
      <c r="F11" s="74"/>
      <c r="G11" s="74"/>
      <c r="H11" s="74"/>
      <c r="I11" s="74">
        <v>1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>
        <v>963</v>
      </c>
      <c r="AA11" s="74"/>
      <c r="AB11" s="74"/>
      <c r="AC11" s="74"/>
      <c r="AD11" s="74"/>
      <c r="AE11" s="74"/>
      <c r="AF11" s="74"/>
      <c r="AG11" s="89">
        <f t="shared" si="0"/>
        <v>964</v>
      </c>
    </row>
    <row r="12" spans="1:33" x14ac:dyDescent="0.25">
      <c r="A12" s="2" t="s">
        <v>85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89">
        <f t="shared" si="0"/>
        <v>0</v>
      </c>
    </row>
    <row r="13" spans="1:33" x14ac:dyDescent="0.25">
      <c r="A13" s="2" t="s">
        <v>86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89">
        <f t="shared" si="0"/>
        <v>0</v>
      </c>
    </row>
    <row r="14" spans="1:33" x14ac:dyDescent="0.25">
      <c r="A14" s="2" t="s">
        <v>87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>
        <v>237678</v>
      </c>
      <c r="AD14" s="74"/>
      <c r="AE14" s="74"/>
      <c r="AF14" s="74"/>
      <c r="AG14" s="89">
        <f t="shared" si="0"/>
        <v>237678</v>
      </c>
    </row>
    <row r="15" spans="1:33" x14ac:dyDescent="0.25">
      <c r="A15" s="2" t="s">
        <v>31</v>
      </c>
      <c r="B15" s="74">
        <f>B16-B14-B13-B12-B11-B10-B9-B8-B7-B6-B5-B4</f>
        <v>370</v>
      </c>
      <c r="C15" s="74">
        <f t="shared" ref="C15:AB15" si="1">C16-C14-C13-C12-C11-C10-C9-C8-C7-C6-C5-C4</f>
        <v>10</v>
      </c>
      <c r="D15" s="74">
        <f t="shared" si="1"/>
        <v>0</v>
      </c>
      <c r="E15" s="74">
        <f t="shared" si="1"/>
        <v>0</v>
      </c>
      <c r="F15" s="74">
        <f t="shared" si="1"/>
        <v>0</v>
      </c>
      <c r="G15" s="74">
        <f t="shared" si="1"/>
        <v>18</v>
      </c>
      <c r="H15" s="74">
        <f t="shared" si="1"/>
        <v>0</v>
      </c>
      <c r="I15" s="74">
        <f t="shared" si="1"/>
        <v>-6.9850791817316349E-12</v>
      </c>
      <c r="J15" s="74">
        <f t="shared" si="1"/>
        <v>0</v>
      </c>
      <c r="K15" s="74">
        <f>K16-K14-K13-K12-K11-K10-K9-K8-K7-K6-K5-K4</f>
        <v>0</v>
      </c>
      <c r="L15" s="74">
        <f t="shared" si="1"/>
        <v>0</v>
      </c>
      <c r="M15" s="74">
        <f t="shared" si="1"/>
        <v>0</v>
      </c>
      <c r="N15" s="74">
        <f t="shared" si="1"/>
        <v>0</v>
      </c>
      <c r="O15" s="74">
        <f t="shared" si="1"/>
        <v>0</v>
      </c>
      <c r="P15" s="74">
        <f t="shared" si="1"/>
        <v>0</v>
      </c>
      <c r="Q15" s="74">
        <f t="shared" si="1"/>
        <v>0</v>
      </c>
      <c r="R15" s="74">
        <f t="shared" si="1"/>
        <v>0</v>
      </c>
      <c r="S15" s="74">
        <f t="shared" si="1"/>
        <v>8.4128259913995862E-12</v>
      </c>
      <c r="T15" s="74">
        <f t="shared" si="1"/>
        <v>0</v>
      </c>
      <c r="U15" s="74">
        <f t="shared" si="1"/>
        <v>1</v>
      </c>
      <c r="V15" s="74">
        <f t="shared" si="1"/>
        <v>0</v>
      </c>
      <c r="W15" s="74">
        <f t="shared" si="1"/>
        <v>0</v>
      </c>
      <c r="X15" s="74">
        <f t="shared" si="1"/>
        <v>0</v>
      </c>
      <c r="Y15" s="74">
        <f t="shared" si="1"/>
        <v>0</v>
      </c>
      <c r="Z15" s="74">
        <f t="shared" si="1"/>
        <v>0</v>
      </c>
      <c r="AA15" s="74">
        <f t="shared" si="1"/>
        <v>0</v>
      </c>
      <c r="AB15" s="74">
        <f t="shared" si="1"/>
        <v>0</v>
      </c>
      <c r="AC15" s="74">
        <f t="shared" ref="AC15:AF15" si="2">AC16-AC14-AC13-AC12-AC11-AC10-AC9-AC8-AC7-AC6-AC5-AC4</f>
        <v>0</v>
      </c>
      <c r="AD15" s="74">
        <f t="shared" si="2"/>
        <v>0</v>
      </c>
      <c r="AE15" s="74">
        <f t="shared" si="2"/>
        <v>0</v>
      </c>
      <c r="AF15" s="74">
        <f t="shared" si="2"/>
        <v>0</v>
      </c>
      <c r="AG15" s="89">
        <f t="shared" si="0"/>
        <v>399.00000000000142</v>
      </c>
    </row>
    <row r="16" spans="1:33" s="7" customFormat="1" x14ac:dyDescent="0.25">
      <c r="A16" s="3" t="s">
        <v>40</v>
      </c>
      <c r="B16" s="3">
        <v>1012</v>
      </c>
      <c r="C16" s="3">
        <v>2497</v>
      </c>
      <c r="D16" s="3">
        <v>310186</v>
      </c>
      <c r="E16" s="3">
        <v>50555</v>
      </c>
      <c r="F16" s="3">
        <v>7848</v>
      </c>
      <c r="G16" s="3">
        <v>1900</v>
      </c>
      <c r="H16" s="3">
        <v>14040</v>
      </c>
      <c r="I16" s="3">
        <v>139420.22</v>
      </c>
      <c r="J16" s="3">
        <v>1032</v>
      </c>
      <c r="K16" s="3">
        <v>5778.84</v>
      </c>
      <c r="L16" s="3">
        <v>17430</v>
      </c>
      <c r="M16" s="3">
        <v>20790</v>
      </c>
      <c r="N16" s="3">
        <v>4480</v>
      </c>
      <c r="O16" s="3">
        <v>1551</v>
      </c>
      <c r="P16" s="3">
        <v>634</v>
      </c>
      <c r="Q16" s="3">
        <v>5412</v>
      </c>
      <c r="R16" s="3">
        <v>595.61</v>
      </c>
      <c r="S16" s="3">
        <v>68680.100000000006</v>
      </c>
      <c r="T16" s="3">
        <v>181</v>
      </c>
      <c r="U16" s="3">
        <v>9112</v>
      </c>
      <c r="V16" s="3">
        <v>117</v>
      </c>
      <c r="W16" s="3">
        <v>9598</v>
      </c>
      <c r="X16" s="3">
        <v>3346</v>
      </c>
      <c r="Y16" s="3">
        <v>9350</v>
      </c>
      <c r="Z16" s="3">
        <v>2817</v>
      </c>
      <c r="AA16" s="3">
        <v>17251</v>
      </c>
      <c r="AB16" s="3">
        <v>26307</v>
      </c>
      <c r="AC16" s="3">
        <v>1157034</v>
      </c>
      <c r="AD16" s="3">
        <v>192571</v>
      </c>
      <c r="AE16" s="3">
        <v>78697</v>
      </c>
      <c r="AF16" s="3">
        <v>23245</v>
      </c>
      <c r="AG16" s="108">
        <f t="shared" si="0"/>
        <v>2183467.77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5" width="16" style="6" customWidth="1"/>
    <col min="6" max="6" width="18.140625" style="6" customWidth="1"/>
    <col min="7" max="32" width="16" style="6" customWidth="1"/>
    <col min="33" max="33" width="16" style="7" customWidth="1"/>
    <col min="34" max="16384" width="9.140625" style="6"/>
  </cols>
  <sheetData>
    <row r="1" spans="1:33" ht="18.75" x14ac:dyDescent="0.3">
      <c r="A1" s="8" t="s">
        <v>307</v>
      </c>
    </row>
    <row r="2" spans="1:33" x14ac:dyDescent="0.25">
      <c r="A2" s="5" t="s">
        <v>98</v>
      </c>
    </row>
    <row r="3" spans="1:33" s="52" customFormat="1" ht="15" customHeight="1" x14ac:dyDescent="0.25">
      <c r="A3" s="91" t="s">
        <v>0</v>
      </c>
      <c r="B3" s="87" t="s">
        <v>1</v>
      </c>
      <c r="C3" s="87" t="s">
        <v>232</v>
      </c>
      <c r="D3" s="87" t="s">
        <v>2</v>
      </c>
      <c r="E3" s="87" t="s">
        <v>3</v>
      </c>
      <c r="F3" s="87" t="s">
        <v>241</v>
      </c>
      <c r="G3" s="87" t="s">
        <v>233</v>
      </c>
      <c r="H3" s="87" t="s">
        <v>244</v>
      </c>
      <c r="I3" s="87" t="s">
        <v>5</v>
      </c>
      <c r="J3" s="87" t="s">
        <v>4</v>
      </c>
      <c r="K3" s="87" t="s">
        <v>6</v>
      </c>
      <c r="L3" s="87" t="s">
        <v>7</v>
      </c>
      <c r="M3" s="87" t="s">
        <v>8</v>
      </c>
      <c r="N3" s="87" t="s">
        <v>9</v>
      </c>
      <c r="O3" s="87" t="s">
        <v>240</v>
      </c>
      <c r="P3" s="87" t="s">
        <v>10</v>
      </c>
      <c r="Q3" s="87" t="s">
        <v>11</v>
      </c>
      <c r="R3" s="87" t="s">
        <v>234</v>
      </c>
      <c r="S3" s="87" t="s">
        <v>12</v>
      </c>
      <c r="T3" s="87" t="s">
        <v>235</v>
      </c>
      <c r="U3" s="87" t="s">
        <v>293</v>
      </c>
      <c r="V3" s="87" t="s">
        <v>236</v>
      </c>
      <c r="W3" s="87" t="s">
        <v>239</v>
      </c>
      <c r="X3" s="87" t="s">
        <v>13</v>
      </c>
      <c r="Y3" s="87" t="s">
        <v>14</v>
      </c>
      <c r="Z3" s="87" t="s">
        <v>15</v>
      </c>
      <c r="AA3" s="87" t="s">
        <v>16</v>
      </c>
      <c r="AB3" s="87" t="s">
        <v>17</v>
      </c>
      <c r="AC3" s="87" t="s">
        <v>237</v>
      </c>
      <c r="AD3" s="87" t="s">
        <v>238</v>
      </c>
      <c r="AE3" s="87" t="s">
        <v>18</v>
      </c>
      <c r="AF3" s="87" t="s">
        <v>19</v>
      </c>
      <c r="AG3" s="92" t="s">
        <v>20</v>
      </c>
    </row>
    <row r="4" spans="1:33" s="52" customFormat="1" ht="15" customHeight="1" x14ac:dyDescent="0.25">
      <c r="A4" s="93" t="s">
        <v>88</v>
      </c>
      <c r="B4" s="74">
        <v>466</v>
      </c>
      <c r="C4" s="74">
        <v>3308</v>
      </c>
      <c r="D4" s="74">
        <v>629266</v>
      </c>
      <c r="E4" s="74">
        <v>17192</v>
      </c>
      <c r="F4" s="74">
        <v>8497</v>
      </c>
      <c r="G4" s="74">
        <v>5295</v>
      </c>
      <c r="H4" s="74">
        <v>6346</v>
      </c>
      <c r="I4" s="72"/>
      <c r="J4" s="72">
        <v>259</v>
      </c>
      <c r="K4" s="74">
        <v>2242.63</v>
      </c>
      <c r="L4" s="74">
        <v>5822</v>
      </c>
      <c r="M4" s="74">
        <v>3581</v>
      </c>
      <c r="N4" s="74">
        <v>7849</v>
      </c>
      <c r="O4" s="74">
        <v>438</v>
      </c>
      <c r="P4" s="74">
        <v>3176</v>
      </c>
      <c r="Q4" s="74">
        <v>265</v>
      </c>
      <c r="R4" s="74">
        <v>688.38</v>
      </c>
      <c r="S4" s="72">
        <v>12222.63</v>
      </c>
      <c r="T4" s="74">
        <v>654</v>
      </c>
      <c r="U4" s="74">
        <v>3812</v>
      </c>
      <c r="V4" s="72">
        <v>281</v>
      </c>
      <c r="W4" s="74">
        <v>2752</v>
      </c>
      <c r="X4" s="74">
        <v>3700</v>
      </c>
      <c r="Y4" s="74">
        <v>8844</v>
      </c>
      <c r="Z4" s="74">
        <v>1521</v>
      </c>
      <c r="AA4" s="74">
        <v>6123</v>
      </c>
      <c r="AB4" s="74">
        <v>11314</v>
      </c>
      <c r="AC4" s="74">
        <v>20559</v>
      </c>
      <c r="AD4" s="74">
        <v>12028</v>
      </c>
      <c r="AE4" s="74">
        <v>12064</v>
      </c>
      <c r="AF4" s="72">
        <v>6023</v>
      </c>
      <c r="AG4" s="94">
        <f t="shared" ref="AG4:AG17" si="0">SUM(B4:AF4)</f>
        <v>796588.64</v>
      </c>
    </row>
    <row r="5" spans="1:33" s="52" customFormat="1" ht="15" customHeight="1" x14ac:dyDescent="0.25">
      <c r="A5" s="93" t="s">
        <v>89</v>
      </c>
      <c r="B5" s="74">
        <v>13116</v>
      </c>
      <c r="C5" s="74">
        <v>6883</v>
      </c>
      <c r="D5" s="72"/>
      <c r="E5" s="74">
        <v>106352</v>
      </c>
      <c r="F5" s="74">
        <v>3683</v>
      </c>
      <c r="G5" s="74">
        <v>24594</v>
      </c>
      <c r="H5" s="74">
        <v>27730</v>
      </c>
      <c r="I5" s="74">
        <v>9165.14</v>
      </c>
      <c r="J5" s="72">
        <v>16727</v>
      </c>
      <c r="K5" s="74">
        <v>54005.86</v>
      </c>
      <c r="L5" s="74">
        <v>382426</v>
      </c>
      <c r="M5" s="74">
        <v>209050</v>
      </c>
      <c r="N5" s="74">
        <v>106846</v>
      </c>
      <c r="O5" s="74">
        <v>3214</v>
      </c>
      <c r="P5" s="74">
        <v>1987</v>
      </c>
      <c r="Q5" s="74">
        <v>5435</v>
      </c>
      <c r="R5" s="74">
        <v>572.51</v>
      </c>
      <c r="S5" s="72">
        <v>187011.1</v>
      </c>
      <c r="T5" s="72">
        <v>9</v>
      </c>
      <c r="U5" s="74">
        <v>21381</v>
      </c>
      <c r="V5" s="72">
        <v>1226</v>
      </c>
      <c r="W5" s="74">
        <v>156384</v>
      </c>
      <c r="X5" s="74">
        <v>38573</v>
      </c>
      <c r="Y5" s="74">
        <v>108214</v>
      </c>
      <c r="Z5" s="74">
        <v>3420</v>
      </c>
      <c r="AA5" s="74">
        <v>3011</v>
      </c>
      <c r="AB5" s="74">
        <v>200549</v>
      </c>
      <c r="AC5" s="74">
        <v>85680</v>
      </c>
      <c r="AD5" s="74">
        <v>70988</v>
      </c>
      <c r="AE5" s="74">
        <v>168641</v>
      </c>
      <c r="AF5" s="72">
        <v>70836</v>
      </c>
      <c r="AG5" s="94">
        <f t="shared" si="0"/>
        <v>2087709.61</v>
      </c>
    </row>
    <row r="6" spans="1:33" s="52" customFormat="1" ht="15" customHeight="1" x14ac:dyDescent="0.25">
      <c r="A6" s="93" t="s">
        <v>90</v>
      </c>
      <c r="B6" s="72"/>
      <c r="C6" s="72"/>
      <c r="D6" s="72"/>
      <c r="E6" s="74">
        <v>24695</v>
      </c>
      <c r="F6" s="72"/>
      <c r="G6" s="74">
        <v>26423</v>
      </c>
      <c r="H6" s="72"/>
      <c r="I6" s="72"/>
      <c r="J6" s="72"/>
      <c r="K6" s="72"/>
      <c r="L6" s="72"/>
      <c r="M6" s="74">
        <v>4556</v>
      </c>
      <c r="N6" s="74">
        <v>2879</v>
      </c>
      <c r="O6" s="74">
        <v>5025</v>
      </c>
      <c r="P6" s="72"/>
      <c r="Q6" s="74">
        <v>10438</v>
      </c>
      <c r="R6" s="72"/>
      <c r="S6" s="72">
        <v>109727.89</v>
      </c>
      <c r="T6" s="72"/>
      <c r="U6" s="72"/>
      <c r="V6" s="72"/>
      <c r="W6" s="72"/>
      <c r="X6" s="72"/>
      <c r="Y6" s="72"/>
      <c r="Z6" s="74">
        <v>433</v>
      </c>
      <c r="AA6" s="72"/>
      <c r="AB6" s="72"/>
      <c r="AC6" s="74">
        <v>9864</v>
      </c>
      <c r="AD6" s="74">
        <v>9749</v>
      </c>
      <c r="AE6" s="72"/>
      <c r="AF6" s="72"/>
      <c r="AG6" s="94">
        <f t="shared" si="0"/>
        <v>203789.89</v>
      </c>
    </row>
    <row r="7" spans="1:33" s="52" customFormat="1" ht="15" customHeight="1" x14ac:dyDescent="0.25">
      <c r="A7" s="93" t="s">
        <v>91</v>
      </c>
      <c r="B7" s="72"/>
      <c r="C7" s="72"/>
      <c r="D7" s="72"/>
      <c r="E7" s="74">
        <v>136657</v>
      </c>
      <c r="F7" s="72"/>
      <c r="G7" s="72"/>
      <c r="H7" s="72"/>
      <c r="I7" s="72"/>
      <c r="J7" s="72"/>
      <c r="K7" s="72"/>
      <c r="L7" s="72"/>
      <c r="M7" s="72"/>
      <c r="N7" s="72"/>
      <c r="O7" s="74">
        <v>8754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4">
        <v>11327</v>
      </c>
      <c r="AB7" s="74">
        <v>167624</v>
      </c>
      <c r="AC7" s="74">
        <v>149723</v>
      </c>
      <c r="AD7" s="74">
        <v>41408</v>
      </c>
      <c r="AE7" s="72"/>
      <c r="AF7" s="72">
        <v>33286</v>
      </c>
      <c r="AG7" s="94">
        <f t="shared" si="0"/>
        <v>548779</v>
      </c>
    </row>
    <row r="8" spans="1:33" s="52" customFormat="1" ht="15" customHeight="1" x14ac:dyDescent="0.25">
      <c r="A8" s="73" t="s">
        <v>294</v>
      </c>
      <c r="B8" s="74">
        <v>5365</v>
      </c>
      <c r="C8" s="74">
        <v>242</v>
      </c>
      <c r="D8" s="72"/>
      <c r="E8" s="74"/>
      <c r="F8" s="74">
        <v>3178</v>
      </c>
      <c r="G8" s="74">
        <v>135006</v>
      </c>
      <c r="H8" s="74">
        <v>114825</v>
      </c>
      <c r="I8" s="74">
        <v>3939.35</v>
      </c>
      <c r="J8" s="72">
        <v>3124</v>
      </c>
      <c r="K8" s="74">
        <v>16050.02</v>
      </c>
      <c r="L8" s="74">
        <v>93694</v>
      </c>
      <c r="M8" s="74">
        <v>306961</v>
      </c>
      <c r="N8" s="74">
        <v>80103</v>
      </c>
      <c r="O8" s="72"/>
      <c r="P8" s="74">
        <v>38905</v>
      </c>
      <c r="Q8" s="74">
        <v>70292</v>
      </c>
      <c r="R8" s="72"/>
      <c r="S8" s="72">
        <v>83317.460000000006</v>
      </c>
      <c r="T8" s="74">
        <v>423</v>
      </c>
      <c r="U8" s="74">
        <v>1881</v>
      </c>
      <c r="V8" s="72">
        <v>5730</v>
      </c>
      <c r="W8" s="74">
        <v>77796</v>
      </c>
      <c r="X8" s="74">
        <v>18504</v>
      </c>
      <c r="Y8" s="74">
        <v>53791</v>
      </c>
      <c r="Z8" s="74">
        <v>21780</v>
      </c>
      <c r="AA8" s="72"/>
      <c r="AB8" s="72"/>
      <c r="AC8" s="72"/>
      <c r="AD8" s="72"/>
      <c r="AE8" s="74">
        <v>34501</v>
      </c>
      <c r="AF8" s="72"/>
      <c r="AG8" s="94"/>
    </row>
    <row r="9" spans="1:33" s="52" customFormat="1" ht="15" customHeight="1" x14ac:dyDescent="0.25">
      <c r="A9" s="73" t="s">
        <v>295</v>
      </c>
      <c r="B9" s="74">
        <v>131</v>
      </c>
      <c r="C9" s="74">
        <v>2623</v>
      </c>
      <c r="D9" s="72"/>
      <c r="E9" s="72"/>
      <c r="F9" s="74">
        <v>16608</v>
      </c>
      <c r="G9" s="74">
        <v>3102</v>
      </c>
      <c r="H9" s="74">
        <v>4365</v>
      </c>
      <c r="I9" s="74">
        <v>20774.64</v>
      </c>
      <c r="J9" s="72">
        <v>198</v>
      </c>
      <c r="K9" s="74">
        <v>8218.67</v>
      </c>
      <c r="L9" s="74">
        <v>10879</v>
      </c>
      <c r="M9" s="74">
        <v>28898</v>
      </c>
      <c r="N9" s="74">
        <v>10119</v>
      </c>
      <c r="O9" s="72"/>
      <c r="P9" s="74">
        <v>210</v>
      </c>
      <c r="Q9" s="74">
        <v>3961</v>
      </c>
      <c r="R9" s="74">
        <v>924.67</v>
      </c>
      <c r="S9" s="72">
        <v>-978.51</v>
      </c>
      <c r="T9" s="74">
        <v>608</v>
      </c>
      <c r="U9" s="74">
        <v>3394</v>
      </c>
      <c r="V9" s="72">
        <v>232</v>
      </c>
      <c r="W9" s="74">
        <v>13006</v>
      </c>
      <c r="X9" s="74">
        <v>3506</v>
      </c>
      <c r="Y9" s="74">
        <v>3420</v>
      </c>
      <c r="Z9" s="74">
        <v>4456</v>
      </c>
      <c r="AA9" s="72"/>
      <c r="AB9" s="72"/>
      <c r="AC9" s="72"/>
      <c r="AD9" s="72"/>
      <c r="AE9" s="72"/>
      <c r="AF9" s="72"/>
      <c r="AG9" s="94"/>
    </row>
    <row r="10" spans="1:33" s="52" customFormat="1" ht="15" customHeight="1" x14ac:dyDescent="0.25">
      <c r="A10" s="93" t="s">
        <v>92</v>
      </c>
      <c r="B10" s="72"/>
      <c r="C10" s="74">
        <v>18968</v>
      </c>
      <c r="D10" s="72"/>
      <c r="E10" s="74">
        <v>60312</v>
      </c>
      <c r="F10" s="74">
        <v>5215</v>
      </c>
      <c r="G10" s="74">
        <v>7286</v>
      </c>
      <c r="H10" s="74">
        <v>20412</v>
      </c>
      <c r="I10" s="74">
        <v>6981.39</v>
      </c>
      <c r="J10" s="72">
        <v>2688</v>
      </c>
      <c r="K10" s="74">
        <v>26894.53</v>
      </c>
      <c r="L10" s="74">
        <v>59477</v>
      </c>
      <c r="M10" s="74">
        <v>96381</v>
      </c>
      <c r="N10" s="74">
        <v>3802</v>
      </c>
      <c r="O10" s="74">
        <v>2095</v>
      </c>
      <c r="P10" s="74">
        <v>3846</v>
      </c>
      <c r="Q10" s="74">
        <v>4732</v>
      </c>
      <c r="R10" s="74">
        <v>6935.29</v>
      </c>
      <c r="S10" s="72">
        <v>79175.5</v>
      </c>
      <c r="T10" s="74">
        <v>211</v>
      </c>
      <c r="U10" s="74">
        <v>2379</v>
      </c>
      <c r="V10" s="72">
        <v>269</v>
      </c>
      <c r="W10" s="74">
        <v>34151</v>
      </c>
      <c r="X10" s="74">
        <v>1811</v>
      </c>
      <c r="Y10" s="74">
        <v>18190</v>
      </c>
      <c r="Z10" s="74">
        <v>674</v>
      </c>
      <c r="AA10" s="74">
        <v>7828</v>
      </c>
      <c r="AB10" s="74">
        <v>37118</v>
      </c>
      <c r="AC10" s="74">
        <v>189071</v>
      </c>
      <c r="AD10" s="72"/>
      <c r="AE10" s="72"/>
      <c r="AF10" s="72">
        <v>456</v>
      </c>
      <c r="AG10" s="94">
        <f t="shared" si="0"/>
        <v>697358.71</v>
      </c>
    </row>
    <row r="11" spans="1:33" s="52" customFormat="1" ht="15" customHeight="1" x14ac:dyDescent="0.25">
      <c r="A11" s="93" t="s">
        <v>93</v>
      </c>
      <c r="B11" s="74">
        <v>11083</v>
      </c>
      <c r="C11" s="74">
        <v>19034</v>
      </c>
      <c r="D11" s="74">
        <v>43306</v>
      </c>
      <c r="E11" s="74">
        <v>57331</v>
      </c>
      <c r="F11" s="74">
        <v>24201</v>
      </c>
      <c r="G11" s="74">
        <v>6957</v>
      </c>
      <c r="H11" s="74">
        <v>24488</v>
      </c>
      <c r="I11" s="74">
        <v>7804.08</v>
      </c>
      <c r="J11" s="72">
        <v>2030</v>
      </c>
      <c r="K11" s="74">
        <v>25188.54</v>
      </c>
      <c r="L11" s="74">
        <v>81965</v>
      </c>
      <c r="M11" s="74">
        <v>144426</v>
      </c>
      <c r="N11" s="74">
        <v>18325</v>
      </c>
      <c r="O11" s="74">
        <v>24</v>
      </c>
      <c r="P11" s="74">
        <v>11860</v>
      </c>
      <c r="Q11" s="74">
        <v>18851</v>
      </c>
      <c r="R11" s="74">
        <v>503.77</v>
      </c>
      <c r="S11" s="72">
        <v>251862.53</v>
      </c>
      <c r="T11" s="74">
        <v>15341</v>
      </c>
      <c r="U11" s="74">
        <v>28388</v>
      </c>
      <c r="V11" s="72">
        <v>3037</v>
      </c>
      <c r="W11" s="74">
        <v>90543</v>
      </c>
      <c r="X11" s="74">
        <v>23944</v>
      </c>
      <c r="Y11" s="74">
        <v>7072</v>
      </c>
      <c r="Z11" s="74">
        <v>9806</v>
      </c>
      <c r="AA11" s="74">
        <v>25772</v>
      </c>
      <c r="AB11" s="74">
        <v>38925</v>
      </c>
      <c r="AC11" s="74">
        <v>307307</v>
      </c>
      <c r="AD11" s="74">
        <v>333584</v>
      </c>
      <c r="AE11" s="74">
        <v>260883</v>
      </c>
      <c r="AF11" s="72">
        <v>7712</v>
      </c>
      <c r="AG11" s="94">
        <f t="shared" si="0"/>
        <v>1901553.92</v>
      </c>
    </row>
    <row r="12" spans="1:33" s="52" customFormat="1" ht="15" customHeight="1" x14ac:dyDescent="0.25">
      <c r="A12" s="93" t="s">
        <v>94</v>
      </c>
      <c r="B12" s="72">
        <v>7</v>
      </c>
      <c r="C12" s="74">
        <v>690</v>
      </c>
      <c r="D12" s="72"/>
      <c r="E12" s="72"/>
      <c r="F12" s="72"/>
      <c r="G12" s="72"/>
      <c r="H12" s="72"/>
      <c r="I12" s="72"/>
      <c r="J12" s="72">
        <v>94</v>
      </c>
      <c r="K12" s="72"/>
      <c r="L12" s="72"/>
      <c r="M12" s="72"/>
      <c r="N12" s="72">
        <v>9</v>
      </c>
      <c r="O12" s="74">
        <v>566</v>
      </c>
      <c r="P12" s="72"/>
      <c r="Q12" s="72"/>
      <c r="R12" s="72"/>
      <c r="S12" s="72"/>
      <c r="T12" s="72">
        <v>156</v>
      </c>
      <c r="U12" s="72"/>
      <c r="V12" s="72"/>
      <c r="W12" s="72"/>
      <c r="X12" s="72"/>
      <c r="Y12" s="74">
        <v>2032</v>
      </c>
      <c r="Z12" s="72"/>
      <c r="AA12" s="72"/>
      <c r="AB12" s="72"/>
      <c r="AC12" s="72"/>
      <c r="AD12" s="72"/>
      <c r="AE12" s="72"/>
      <c r="AF12" s="72"/>
      <c r="AG12" s="94">
        <f t="shared" si="0"/>
        <v>3554</v>
      </c>
    </row>
    <row r="13" spans="1:33" s="52" customFormat="1" ht="15" customHeight="1" x14ac:dyDescent="0.25">
      <c r="A13" s="93" t="s">
        <v>95</v>
      </c>
      <c r="B13" s="72">
        <v>35470</v>
      </c>
      <c r="C13" s="74">
        <v>20794</v>
      </c>
      <c r="D13" s="74">
        <v>1030522</v>
      </c>
      <c r="E13" s="74">
        <v>1213585</v>
      </c>
      <c r="F13" s="74">
        <v>58009</v>
      </c>
      <c r="G13" s="74">
        <v>776116</v>
      </c>
      <c r="H13" s="74">
        <v>540379</v>
      </c>
      <c r="I13" s="74">
        <v>587221.37</v>
      </c>
      <c r="J13" s="72">
        <v>29799</v>
      </c>
      <c r="K13" s="74">
        <v>293665.3</v>
      </c>
      <c r="L13" s="74">
        <v>805361</v>
      </c>
      <c r="M13" s="74">
        <v>2726896</v>
      </c>
      <c r="N13" s="74">
        <v>818624</v>
      </c>
      <c r="O13" s="74">
        <v>58292</v>
      </c>
      <c r="P13" s="74">
        <v>153695</v>
      </c>
      <c r="Q13" s="74">
        <v>237715</v>
      </c>
      <c r="R13" s="74">
        <v>11806.55</v>
      </c>
      <c r="S13" s="72">
        <v>2070170.71</v>
      </c>
      <c r="T13" s="72">
        <v>14604</v>
      </c>
      <c r="U13" s="74">
        <v>37268</v>
      </c>
      <c r="V13" s="74">
        <v>44891</v>
      </c>
      <c r="W13" s="74">
        <v>1056717</v>
      </c>
      <c r="X13" s="74">
        <v>471688</v>
      </c>
      <c r="Y13" s="74">
        <v>497336</v>
      </c>
      <c r="Z13" s="74">
        <v>766755</v>
      </c>
      <c r="AA13" s="74">
        <v>81247</v>
      </c>
      <c r="AB13" s="74">
        <v>1040500</v>
      </c>
      <c r="AC13" s="74">
        <v>3305778</v>
      </c>
      <c r="AD13" s="74">
        <v>1821888</v>
      </c>
      <c r="AE13" s="74">
        <v>2594797</v>
      </c>
      <c r="AF13" s="74">
        <v>173065</v>
      </c>
      <c r="AG13" s="94">
        <f t="shared" si="0"/>
        <v>23374654.93</v>
      </c>
    </row>
    <row r="14" spans="1:33" s="52" customFormat="1" ht="15" customHeight="1" x14ac:dyDescent="0.25">
      <c r="A14" s="93" t="s">
        <v>96</v>
      </c>
      <c r="B14" s="72"/>
      <c r="C14" s="72"/>
      <c r="D14" s="72"/>
      <c r="E14" s="72"/>
      <c r="F14" s="72"/>
      <c r="G14" s="72"/>
      <c r="H14" s="72"/>
      <c r="I14" s="74">
        <v>217.99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>
        <v>3</v>
      </c>
      <c r="AC14" s="72"/>
      <c r="AD14" s="72"/>
      <c r="AE14" s="72"/>
      <c r="AF14" s="72"/>
      <c r="AG14" s="94">
        <f t="shared" si="0"/>
        <v>220.99</v>
      </c>
    </row>
    <row r="15" spans="1:33" s="52" customFormat="1" ht="15" customHeight="1" x14ac:dyDescent="0.25">
      <c r="A15" s="93" t="s">
        <v>97</v>
      </c>
      <c r="B15" s="72"/>
      <c r="C15" s="74">
        <v>197</v>
      </c>
      <c r="D15" s="74">
        <v>7516</v>
      </c>
      <c r="E15" s="72">
        <f>147+4</f>
        <v>151</v>
      </c>
      <c r="F15" s="72">
        <f>535+45</f>
        <v>580</v>
      </c>
      <c r="G15" s="72">
        <f>336+128</f>
        <v>464</v>
      </c>
      <c r="H15" s="74">
        <v>679</v>
      </c>
      <c r="I15" s="72">
        <f>134.98+44.46</f>
        <v>179.44</v>
      </c>
      <c r="J15" s="72">
        <v>22</v>
      </c>
      <c r="K15" s="74">
        <f>349.69+2855.47</f>
        <v>3205.16</v>
      </c>
      <c r="L15" s="74">
        <f>518+3142</f>
        <v>3660</v>
      </c>
      <c r="M15" s="72">
        <f>46839+7899</f>
        <v>54738</v>
      </c>
      <c r="N15" s="72">
        <f>1761+477</f>
        <v>2238</v>
      </c>
      <c r="O15" s="72">
        <v>20</v>
      </c>
      <c r="P15" s="72">
        <f>1084+108</f>
        <v>1192</v>
      </c>
      <c r="Q15" s="72">
        <f>307+24</f>
        <v>331</v>
      </c>
      <c r="R15" s="74">
        <f>24.43+214.16</f>
        <v>238.59</v>
      </c>
      <c r="S15" s="72">
        <f>10220.01+3290.47</f>
        <v>13510.48</v>
      </c>
      <c r="T15" s="72">
        <v>6</v>
      </c>
      <c r="U15" s="72">
        <f>127+59</f>
        <v>186</v>
      </c>
      <c r="V15" s="72">
        <v>4.5</v>
      </c>
      <c r="W15" s="72">
        <f>7583+627</f>
        <v>8210</v>
      </c>
      <c r="X15" s="72">
        <f>630+161</f>
        <v>791</v>
      </c>
      <c r="Y15" s="74">
        <v>1096</v>
      </c>
      <c r="Z15" s="72">
        <f>1829+78</f>
        <v>1907</v>
      </c>
      <c r="AA15" s="72">
        <f>2146+331</f>
        <v>2477</v>
      </c>
      <c r="AB15" s="74">
        <f>2915+875</f>
        <v>3790</v>
      </c>
      <c r="AC15" s="72">
        <f>18307+5149</f>
        <v>23456</v>
      </c>
      <c r="AD15" s="72">
        <f>9152+1424</f>
        <v>10576</v>
      </c>
      <c r="AE15" s="72">
        <f>5813+2464</f>
        <v>8277</v>
      </c>
      <c r="AF15" s="72">
        <f>703+195</f>
        <v>898</v>
      </c>
      <c r="AG15" s="94">
        <f t="shared" si="0"/>
        <v>150596.16999999998</v>
      </c>
    </row>
    <row r="16" spans="1:33" s="52" customFormat="1" ht="15" customHeight="1" x14ac:dyDescent="0.25">
      <c r="A16" s="93" t="s">
        <v>31</v>
      </c>
      <c r="B16" s="72">
        <f>B17-B15-B14-B13-B12-B11-B10-B7-B6-B5-B4-B8-B9</f>
        <v>7868</v>
      </c>
      <c r="C16" s="72">
        <f>C17-C15-C14-C13-C12-C11-C10-C7-C6-C5-C4-C8-C9</f>
        <v>7235</v>
      </c>
      <c r="D16" s="72">
        <f t="shared" ref="D16:AG16" si="1">D17-D15-D14-D13-D12-D11-D10-D7-D6-D5-D4-D8-D9</f>
        <v>458646</v>
      </c>
      <c r="E16" s="72">
        <f t="shared" si="1"/>
        <v>32329</v>
      </c>
      <c r="F16" s="72">
        <f t="shared" si="1"/>
        <v>10211</v>
      </c>
      <c r="G16" s="72">
        <f t="shared" si="1"/>
        <v>37801</v>
      </c>
      <c r="H16" s="72">
        <f t="shared" si="1"/>
        <v>20345</v>
      </c>
      <c r="I16" s="72">
        <f t="shared" si="1"/>
        <v>2267.3700000000899</v>
      </c>
      <c r="J16" s="72">
        <f t="shared" si="1"/>
        <v>674</v>
      </c>
      <c r="K16" s="72">
        <f t="shared" si="1"/>
        <v>6423.5200000000095</v>
      </c>
      <c r="L16" s="72">
        <f t="shared" si="1"/>
        <v>6436</v>
      </c>
      <c r="M16" s="72">
        <f t="shared" si="1"/>
        <v>35274</v>
      </c>
      <c r="N16" s="72">
        <f t="shared" si="1"/>
        <v>55489</v>
      </c>
      <c r="O16" s="72">
        <f t="shared" si="1"/>
        <v>10060</v>
      </c>
      <c r="P16" s="72">
        <f t="shared" si="1"/>
        <v>6694</v>
      </c>
      <c r="Q16" s="72">
        <f t="shared" si="1"/>
        <v>17232</v>
      </c>
      <c r="R16" s="72">
        <f t="shared" si="1"/>
        <v>19834.400000000009</v>
      </c>
      <c r="S16" s="72">
        <f t="shared" si="1"/>
        <v>34041.250000000036</v>
      </c>
      <c r="T16" s="72">
        <f t="shared" si="1"/>
        <v>57</v>
      </c>
      <c r="U16" s="72">
        <f t="shared" si="1"/>
        <v>15226</v>
      </c>
      <c r="V16" s="72">
        <f t="shared" si="1"/>
        <v>147.5</v>
      </c>
      <c r="W16" s="72">
        <f t="shared" si="1"/>
        <v>34288</v>
      </c>
      <c r="X16" s="72">
        <f t="shared" si="1"/>
        <v>6911</v>
      </c>
      <c r="Y16" s="72">
        <f t="shared" si="1"/>
        <v>7442</v>
      </c>
      <c r="Z16" s="72">
        <f t="shared" si="1"/>
        <v>13915</v>
      </c>
      <c r="AA16" s="72">
        <f t="shared" si="1"/>
        <v>33572</v>
      </c>
      <c r="AB16" s="72">
        <f t="shared" si="1"/>
        <v>12148</v>
      </c>
      <c r="AC16" s="72">
        <f t="shared" si="1"/>
        <v>72549</v>
      </c>
      <c r="AD16" s="72">
        <f t="shared" si="1"/>
        <v>11848</v>
      </c>
      <c r="AE16" s="72">
        <f t="shared" si="1"/>
        <v>5127</v>
      </c>
      <c r="AF16" s="72">
        <f t="shared" si="1"/>
        <v>3940</v>
      </c>
      <c r="AG16" s="94">
        <f t="shared" si="1"/>
        <v>2294094.3399999994</v>
      </c>
    </row>
    <row r="17" spans="1:33" s="53" customFormat="1" ht="15" customHeight="1" x14ac:dyDescent="0.25">
      <c r="A17" s="95" t="s">
        <v>40</v>
      </c>
      <c r="B17" s="95">
        <v>73506</v>
      </c>
      <c r="C17" s="95">
        <v>79974</v>
      </c>
      <c r="D17" s="95">
        <v>2169256</v>
      </c>
      <c r="E17" s="95">
        <v>1648604</v>
      </c>
      <c r="F17" s="95">
        <v>130182</v>
      </c>
      <c r="G17" s="95">
        <v>1023044</v>
      </c>
      <c r="H17" s="95">
        <v>759569</v>
      </c>
      <c r="I17" s="95">
        <v>638550.77</v>
      </c>
      <c r="J17" s="95">
        <v>55615</v>
      </c>
      <c r="K17" s="95">
        <v>435894.23</v>
      </c>
      <c r="L17" s="95">
        <v>1449720</v>
      </c>
      <c r="M17" s="95">
        <v>3610761</v>
      </c>
      <c r="N17" s="95">
        <v>1106283</v>
      </c>
      <c r="O17" s="95">
        <v>88488</v>
      </c>
      <c r="P17" s="95">
        <v>221565</v>
      </c>
      <c r="Q17" s="95">
        <v>369252</v>
      </c>
      <c r="R17" s="95">
        <v>41504.160000000003</v>
      </c>
      <c r="S17" s="95">
        <v>2840061.04</v>
      </c>
      <c r="T17" s="95">
        <v>32069</v>
      </c>
      <c r="U17" s="95">
        <v>113915</v>
      </c>
      <c r="V17" s="95">
        <v>55818</v>
      </c>
      <c r="W17" s="95">
        <v>1473847</v>
      </c>
      <c r="X17" s="95">
        <v>569428</v>
      </c>
      <c r="Y17" s="95">
        <v>707437</v>
      </c>
      <c r="Z17" s="95">
        <v>824667</v>
      </c>
      <c r="AA17" s="95">
        <v>171357</v>
      </c>
      <c r="AB17" s="95">
        <v>1511971</v>
      </c>
      <c r="AC17" s="95">
        <v>4163987</v>
      </c>
      <c r="AD17" s="95">
        <v>2312069</v>
      </c>
      <c r="AE17" s="95">
        <v>3084290</v>
      </c>
      <c r="AF17" s="95">
        <v>296216</v>
      </c>
      <c r="AG17" s="106">
        <f t="shared" si="0"/>
        <v>32058900.199999999</v>
      </c>
    </row>
  </sheetData>
  <pageMargins left="0.7" right="0.7" top="0.75" bottom="0.75" header="0.3" footer="0.3"/>
  <pageSetup paperSize="9" orientation="portrait" r:id="rId1"/>
  <ignoredErrors>
    <ignoredError sqref="AG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2" width="16" style="6" customWidth="1"/>
    <col min="33" max="16384" width="9.140625" style="6"/>
  </cols>
  <sheetData>
    <row r="1" spans="1:32" ht="18.75" x14ac:dyDescent="0.3">
      <c r="A1" s="8" t="s">
        <v>308</v>
      </c>
    </row>
    <row r="2" spans="1:32" x14ac:dyDescent="0.25">
      <c r="A2" s="5" t="s">
        <v>98</v>
      </c>
    </row>
    <row r="3" spans="1:32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</row>
    <row r="4" spans="1:32" x14ac:dyDescent="0.25">
      <c r="A4" s="9" t="s">
        <v>261</v>
      </c>
      <c r="B4" s="74">
        <v>47556</v>
      </c>
      <c r="C4" s="74">
        <v>94171</v>
      </c>
      <c r="D4" s="74">
        <v>42773</v>
      </c>
      <c r="E4" s="74">
        <v>426289</v>
      </c>
      <c r="F4" s="74">
        <v>204369</v>
      </c>
      <c r="G4" s="74">
        <v>284806</v>
      </c>
      <c r="H4" s="74">
        <v>272381</v>
      </c>
      <c r="I4" s="74">
        <v>49498.14</v>
      </c>
      <c r="J4" s="74">
        <v>19001</v>
      </c>
      <c r="K4" s="74">
        <v>129668.99</v>
      </c>
      <c r="L4" s="74">
        <v>498316</v>
      </c>
      <c r="M4" s="74">
        <v>839844</v>
      </c>
      <c r="N4" s="74">
        <v>328369</v>
      </c>
      <c r="O4" s="74">
        <v>50638</v>
      </c>
      <c r="P4" s="74">
        <v>90741</v>
      </c>
      <c r="Q4" s="74">
        <v>103411</v>
      </c>
      <c r="R4" s="74">
        <v>58875.15</v>
      </c>
      <c r="S4" s="74">
        <v>581036.55000000005</v>
      </c>
      <c r="T4" s="74">
        <v>16265</v>
      </c>
      <c r="U4" s="74">
        <v>140618</v>
      </c>
      <c r="V4" s="74">
        <v>20062</v>
      </c>
      <c r="W4" s="74">
        <v>248782</v>
      </c>
      <c r="X4" s="74">
        <v>142517</v>
      </c>
      <c r="Y4" s="74">
        <v>331549</v>
      </c>
      <c r="Z4" s="74">
        <v>109708</v>
      </c>
      <c r="AA4" s="74">
        <v>615021</v>
      </c>
      <c r="AB4" s="74">
        <v>436919</v>
      </c>
      <c r="AC4" s="74">
        <v>1359060</v>
      </c>
      <c r="AD4" s="74">
        <v>668382</v>
      </c>
      <c r="AE4" s="74">
        <v>627816</v>
      </c>
      <c r="AF4" s="74">
        <v>104352</v>
      </c>
    </row>
    <row r="5" spans="1:32" x14ac:dyDescent="0.25">
      <c r="A5" s="9" t="s">
        <v>262</v>
      </c>
      <c r="B5" s="74"/>
      <c r="C5" s="74"/>
      <c r="D5" s="74">
        <v>9900</v>
      </c>
      <c r="E5" s="74"/>
      <c r="F5" s="74"/>
      <c r="G5" s="74"/>
      <c r="H5" s="74"/>
      <c r="I5" s="74">
        <v>12661</v>
      </c>
      <c r="J5" s="74"/>
      <c r="K5" s="74"/>
      <c r="L5" s="74"/>
      <c r="M5" s="74"/>
      <c r="N5" s="74"/>
      <c r="O5" s="74"/>
      <c r="P5" s="74"/>
      <c r="Q5" s="74">
        <v>53</v>
      </c>
      <c r="R5" s="74"/>
      <c r="S5" s="74">
        <v>3599.52</v>
      </c>
      <c r="T5" s="74"/>
      <c r="U5" s="74"/>
      <c r="V5" s="74"/>
      <c r="W5" s="74"/>
      <c r="X5" s="74"/>
      <c r="Y5" s="74"/>
      <c r="Z5" s="74"/>
      <c r="AA5" s="74"/>
      <c r="AB5" s="74"/>
      <c r="AC5" s="74"/>
      <c r="AD5" s="74">
        <v>46906</v>
      </c>
      <c r="AE5" s="74"/>
      <c r="AF5" s="74"/>
    </row>
    <row r="6" spans="1:32" x14ac:dyDescent="0.25">
      <c r="A6" s="9" t="s">
        <v>296</v>
      </c>
      <c r="B6" s="74"/>
      <c r="C6" s="74"/>
      <c r="D6" s="74"/>
      <c r="E6" s="74">
        <v>188</v>
      </c>
      <c r="F6" s="74">
        <v>2028</v>
      </c>
      <c r="G6" s="74"/>
      <c r="H6" s="74"/>
      <c r="I6" s="74"/>
      <c r="J6" s="74"/>
      <c r="K6" s="74">
        <v>727.66</v>
      </c>
      <c r="L6" s="74">
        <v>397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>
        <v>908</v>
      </c>
      <c r="X6" s="74"/>
      <c r="Y6" s="74">
        <v>2048</v>
      </c>
      <c r="Z6" s="74">
        <v>1796</v>
      </c>
      <c r="AA6" s="74"/>
      <c r="AB6" s="74">
        <v>6631</v>
      </c>
      <c r="AC6" s="74"/>
      <c r="AD6" s="74"/>
      <c r="AE6" s="74"/>
      <c r="AF6" s="74"/>
    </row>
    <row r="7" spans="1:32" x14ac:dyDescent="0.25">
      <c r="A7" s="9" t="s">
        <v>263</v>
      </c>
      <c r="B7" s="74">
        <v>1690</v>
      </c>
      <c r="C7" s="74"/>
      <c r="D7" s="74">
        <v>6064</v>
      </c>
      <c r="E7" s="74">
        <f>125+1940+382</f>
        <v>2447</v>
      </c>
      <c r="F7" s="74">
        <v>1184</v>
      </c>
      <c r="G7" s="74">
        <v>4671</v>
      </c>
      <c r="H7" s="74"/>
      <c r="I7" s="74">
        <f>6037.47+121.3+1758.23</f>
        <v>7917</v>
      </c>
      <c r="J7" s="74">
        <f>299+97+664</f>
        <v>1060</v>
      </c>
      <c r="K7" s="74">
        <v>6396.66</v>
      </c>
      <c r="L7" s="74">
        <v>705</v>
      </c>
      <c r="M7" s="74"/>
      <c r="N7" s="74">
        <v>6842</v>
      </c>
      <c r="O7" s="74">
        <v>1207</v>
      </c>
      <c r="P7" s="74"/>
      <c r="Q7" s="74">
        <v>1883</v>
      </c>
      <c r="R7" s="74"/>
      <c r="S7" s="74"/>
      <c r="T7" s="74">
        <v>46</v>
      </c>
      <c r="U7" s="74">
        <v>1253</v>
      </c>
      <c r="V7" s="74">
        <v>2529</v>
      </c>
      <c r="W7" s="74">
        <f>163.6+95+1983</f>
        <v>2241.6</v>
      </c>
      <c r="X7" s="74"/>
      <c r="Y7" s="74">
        <v>2186</v>
      </c>
      <c r="Z7" s="74">
        <v>318</v>
      </c>
      <c r="AA7" s="74"/>
      <c r="AB7" s="74">
        <v>2286</v>
      </c>
      <c r="AC7" s="74">
        <v>83994</v>
      </c>
      <c r="AD7" s="74"/>
      <c r="AE7" s="74">
        <v>675</v>
      </c>
      <c r="AF7" s="74"/>
    </row>
    <row r="8" spans="1:32" x14ac:dyDescent="0.25">
      <c r="A8" s="9" t="s">
        <v>31</v>
      </c>
      <c r="B8" s="74"/>
      <c r="C8" s="74">
        <f>257+358+2058+77</f>
        <v>2750</v>
      </c>
      <c r="D8" s="74">
        <f>3880+1443+3068+984</f>
        <v>9375</v>
      </c>
      <c r="E8" s="74"/>
      <c r="F8" s="74">
        <v>118</v>
      </c>
      <c r="G8" s="74"/>
      <c r="H8" s="74">
        <f>462+447+817</f>
        <v>1726</v>
      </c>
      <c r="I8" s="74">
        <v>10546.3</v>
      </c>
      <c r="J8" s="74">
        <v>115</v>
      </c>
      <c r="K8" s="74"/>
      <c r="L8" s="74"/>
      <c r="M8" s="74">
        <f>240+87+5924</f>
        <v>6251</v>
      </c>
      <c r="N8" s="74"/>
      <c r="O8" s="74"/>
      <c r="P8" s="74">
        <f>159+140+2730</f>
        <v>3029</v>
      </c>
      <c r="Q8" s="74">
        <v>50</v>
      </c>
      <c r="R8" s="74">
        <f>40.28+297.78</f>
        <v>338.05999999999995</v>
      </c>
      <c r="S8" s="74">
        <f>98947.46+28280.04+2865.81+2298.83+1.47</f>
        <v>132393.60999999999</v>
      </c>
      <c r="T8" s="74"/>
      <c r="U8" s="74"/>
      <c r="V8" s="74"/>
      <c r="W8" s="74">
        <v>1000</v>
      </c>
      <c r="X8" s="74">
        <v>102</v>
      </c>
      <c r="Y8" s="74">
        <v>14134</v>
      </c>
      <c r="Z8" s="74">
        <v>1939</v>
      </c>
      <c r="AA8" s="74">
        <f>495+2843</f>
        <v>3338</v>
      </c>
      <c r="AB8" s="74"/>
      <c r="AC8" s="74">
        <v>133682</v>
      </c>
      <c r="AD8" s="74">
        <f>91378+1830+68683+1369+1293</f>
        <v>164553</v>
      </c>
      <c r="AE8" s="74">
        <f>8144+450+28505+946+83646</f>
        <v>121691</v>
      </c>
      <c r="AF8" s="74">
        <v>120</v>
      </c>
    </row>
    <row r="9" spans="1:32" s="7" customFormat="1" x14ac:dyDescent="0.25">
      <c r="A9" s="10" t="s">
        <v>40</v>
      </c>
      <c r="B9" s="10">
        <v>49246</v>
      </c>
      <c r="C9" s="10">
        <f t="shared" ref="C9:G9" si="0">SUM(C4:C8)</f>
        <v>96921</v>
      </c>
      <c r="D9" s="10">
        <f t="shared" si="0"/>
        <v>68112</v>
      </c>
      <c r="E9" s="10">
        <f t="shared" si="0"/>
        <v>428924</v>
      </c>
      <c r="F9" s="10">
        <f t="shared" si="0"/>
        <v>207699</v>
      </c>
      <c r="G9" s="10">
        <f t="shared" si="0"/>
        <v>289477</v>
      </c>
      <c r="H9" s="10">
        <f>SUM(H4:H8)</f>
        <v>274107</v>
      </c>
      <c r="I9" s="10">
        <f t="shared" ref="I9:AF9" si="1">SUM(I4:I8)</f>
        <v>80622.44</v>
      </c>
      <c r="J9" s="10">
        <f t="shared" si="1"/>
        <v>20176</v>
      </c>
      <c r="K9" s="10">
        <f t="shared" si="1"/>
        <v>136793.31</v>
      </c>
      <c r="L9" s="10">
        <f t="shared" si="1"/>
        <v>499418</v>
      </c>
      <c r="M9" s="10">
        <f t="shared" si="1"/>
        <v>846095</v>
      </c>
      <c r="N9" s="10">
        <f t="shared" si="1"/>
        <v>335211</v>
      </c>
      <c r="O9" s="10">
        <f t="shared" si="1"/>
        <v>51845</v>
      </c>
      <c r="P9" s="10">
        <f t="shared" si="1"/>
        <v>93770</v>
      </c>
      <c r="Q9" s="10">
        <f t="shared" si="1"/>
        <v>105397</v>
      </c>
      <c r="R9" s="10">
        <f t="shared" si="1"/>
        <v>59213.21</v>
      </c>
      <c r="S9" s="10">
        <f t="shared" si="1"/>
        <v>717029.68</v>
      </c>
      <c r="T9" s="10">
        <f t="shared" si="1"/>
        <v>16311</v>
      </c>
      <c r="U9" s="10">
        <f t="shared" si="1"/>
        <v>141871</v>
      </c>
      <c r="V9" s="10">
        <f t="shared" si="1"/>
        <v>22591</v>
      </c>
      <c r="W9" s="10">
        <f t="shared" si="1"/>
        <v>252931.6</v>
      </c>
      <c r="X9" s="10">
        <f t="shared" si="1"/>
        <v>142619</v>
      </c>
      <c r="Y9" s="10">
        <f t="shared" si="1"/>
        <v>349917</v>
      </c>
      <c r="Z9" s="10">
        <f t="shared" si="1"/>
        <v>113761</v>
      </c>
      <c r="AA9" s="10">
        <f t="shared" si="1"/>
        <v>618359</v>
      </c>
      <c r="AB9" s="10">
        <f t="shared" si="1"/>
        <v>445836</v>
      </c>
      <c r="AC9" s="10">
        <f t="shared" si="1"/>
        <v>1576736</v>
      </c>
      <c r="AD9" s="10">
        <f t="shared" si="1"/>
        <v>879841</v>
      </c>
      <c r="AE9" s="10">
        <f t="shared" si="1"/>
        <v>750182</v>
      </c>
      <c r="AF9" s="10">
        <f t="shared" si="1"/>
        <v>104472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K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  <col min="36" max="37" width="16" style="59" customWidth="1"/>
    <col min="38" max="63" width="16" customWidth="1"/>
  </cols>
  <sheetData>
    <row r="1" spans="1:63" ht="18.75" x14ac:dyDescent="0.3">
      <c r="A1" s="12" t="s">
        <v>245</v>
      </c>
    </row>
    <row r="2" spans="1:63" x14ac:dyDescent="0.25">
      <c r="A2" s="86" t="s">
        <v>0</v>
      </c>
      <c r="B2" s="131" t="s">
        <v>1</v>
      </c>
      <c r="C2" s="131"/>
      <c r="D2" s="131" t="s">
        <v>232</v>
      </c>
      <c r="E2" s="131"/>
      <c r="F2" s="131" t="s">
        <v>2</v>
      </c>
      <c r="G2" s="131"/>
      <c r="H2" s="131" t="s">
        <v>3</v>
      </c>
      <c r="I2" s="131"/>
      <c r="J2" s="131" t="s">
        <v>241</v>
      </c>
      <c r="K2" s="131"/>
      <c r="L2" s="131" t="s">
        <v>233</v>
      </c>
      <c r="M2" s="131"/>
      <c r="N2" s="131" t="s">
        <v>244</v>
      </c>
      <c r="O2" s="131"/>
      <c r="P2" s="131" t="s">
        <v>5</v>
      </c>
      <c r="Q2" s="131"/>
      <c r="R2" s="131" t="s">
        <v>4</v>
      </c>
      <c r="S2" s="131"/>
      <c r="T2" s="131" t="s">
        <v>6</v>
      </c>
      <c r="U2" s="131"/>
      <c r="V2" s="131" t="s">
        <v>7</v>
      </c>
      <c r="W2" s="131"/>
      <c r="X2" s="131" t="s">
        <v>8</v>
      </c>
      <c r="Y2" s="131"/>
      <c r="Z2" s="131" t="s">
        <v>9</v>
      </c>
      <c r="AA2" s="131"/>
      <c r="AB2" s="131" t="s">
        <v>240</v>
      </c>
      <c r="AC2" s="131"/>
      <c r="AD2" s="131" t="s">
        <v>10</v>
      </c>
      <c r="AE2" s="131"/>
      <c r="AF2" s="131" t="s">
        <v>11</v>
      </c>
      <c r="AG2" s="131"/>
      <c r="AH2" s="131" t="s">
        <v>234</v>
      </c>
      <c r="AI2" s="131"/>
      <c r="AJ2" s="131" t="s">
        <v>12</v>
      </c>
      <c r="AK2" s="131"/>
      <c r="AL2" s="131" t="s">
        <v>235</v>
      </c>
      <c r="AM2" s="131"/>
      <c r="AN2" s="131" t="s">
        <v>293</v>
      </c>
      <c r="AO2" s="131"/>
      <c r="AP2" s="131" t="s">
        <v>236</v>
      </c>
      <c r="AQ2" s="131"/>
      <c r="AR2" s="131" t="s">
        <v>239</v>
      </c>
      <c r="AS2" s="131"/>
      <c r="AT2" s="131" t="s">
        <v>13</v>
      </c>
      <c r="AU2" s="131"/>
      <c r="AV2" s="131" t="s">
        <v>14</v>
      </c>
      <c r="AW2" s="131"/>
      <c r="AX2" s="131" t="s">
        <v>15</v>
      </c>
      <c r="AY2" s="131"/>
      <c r="AZ2" s="131" t="s">
        <v>16</v>
      </c>
      <c r="BA2" s="131"/>
      <c r="BB2" s="131" t="s">
        <v>17</v>
      </c>
      <c r="BC2" s="131"/>
      <c r="BD2" s="131" t="s">
        <v>237</v>
      </c>
      <c r="BE2" s="131"/>
      <c r="BF2" s="131" t="s">
        <v>238</v>
      </c>
      <c r="BG2" s="131"/>
      <c r="BH2" s="131" t="s">
        <v>18</v>
      </c>
      <c r="BI2" s="131"/>
      <c r="BJ2" s="131" t="s">
        <v>19</v>
      </c>
      <c r="BK2" s="131"/>
    </row>
    <row r="3" spans="1:63" ht="30" x14ac:dyDescent="0.25">
      <c r="A3" s="86"/>
      <c r="B3" s="99" t="s">
        <v>299</v>
      </c>
      <c r="C3" s="100" t="s">
        <v>298</v>
      </c>
      <c r="D3" s="99" t="s">
        <v>299</v>
      </c>
      <c r="E3" s="100" t="s">
        <v>298</v>
      </c>
      <c r="F3" s="99" t="s">
        <v>299</v>
      </c>
      <c r="G3" s="100" t="s">
        <v>298</v>
      </c>
      <c r="H3" s="99" t="s">
        <v>299</v>
      </c>
      <c r="I3" s="100" t="s">
        <v>298</v>
      </c>
      <c r="J3" s="99" t="s">
        <v>299</v>
      </c>
      <c r="K3" s="100" t="s">
        <v>298</v>
      </c>
      <c r="L3" s="99" t="s">
        <v>299</v>
      </c>
      <c r="M3" s="100" t="s">
        <v>298</v>
      </c>
      <c r="N3" s="99" t="s">
        <v>299</v>
      </c>
      <c r="O3" s="100" t="s">
        <v>298</v>
      </c>
      <c r="P3" s="99" t="s">
        <v>299</v>
      </c>
      <c r="Q3" s="100" t="s">
        <v>298</v>
      </c>
      <c r="R3" s="99" t="s">
        <v>299</v>
      </c>
      <c r="S3" s="100" t="s">
        <v>298</v>
      </c>
      <c r="T3" s="99" t="s">
        <v>299</v>
      </c>
      <c r="U3" s="100" t="s">
        <v>298</v>
      </c>
      <c r="V3" s="99" t="s">
        <v>299</v>
      </c>
      <c r="W3" s="100" t="s">
        <v>298</v>
      </c>
      <c r="X3" s="99" t="s">
        <v>299</v>
      </c>
      <c r="Y3" s="100" t="s">
        <v>298</v>
      </c>
      <c r="Z3" s="99" t="s">
        <v>299</v>
      </c>
      <c r="AA3" s="100" t="s">
        <v>298</v>
      </c>
      <c r="AB3" s="99" t="s">
        <v>299</v>
      </c>
      <c r="AC3" s="100" t="s">
        <v>298</v>
      </c>
      <c r="AD3" s="99" t="s">
        <v>299</v>
      </c>
      <c r="AE3" s="100" t="s">
        <v>298</v>
      </c>
      <c r="AF3" s="99" t="s">
        <v>299</v>
      </c>
      <c r="AG3" s="100" t="s">
        <v>298</v>
      </c>
      <c r="AH3" s="99" t="s">
        <v>299</v>
      </c>
      <c r="AI3" s="100" t="s">
        <v>298</v>
      </c>
      <c r="AJ3" s="99" t="s">
        <v>299</v>
      </c>
      <c r="AK3" s="100" t="s">
        <v>298</v>
      </c>
      <c r="AL3" s="99" t="s">
        <v>299</v>
      </c>
      <c r="AM3" s="100" t="s">
        <v>298</v>
      </c>
      <c r="AN3" s="99" t="s">
        <v>299</v>
      </c>
      <c r="AO3" s="100" t="s">
        <v>298</v>
      </c>
      <c r="AP3" s="99" t="s">
        <v>299</v>
      </c>
      <c r="AQ3" s="100" t="s">
        <v>298</v>
      </c>
      <c r="AR3" s="99" t="s">
        <v>299</v>
      </c>
      <c r="AS3" s="100" t="s">
        <v>298</v>
      </c>
      <c r="AT3" s="99" t="s">
        <v>299</v>
      </c>
      <c r="AU3" s="100" t="s">
        <v>298</v>
      </c>
      <c r="AV3" s="99" t="s">
        <v>299</v>
      </c>
      <c r="AW3" s="100" t="s">
        <v>298</v>
      </c>
      <c r="AX3" s="99" t="s">
        <v>299</v>
      </c>
      <c r="AY3" s="100" t="s">
        <v>298</v>
      </c>
      <c r="AZ3" s="99" t="s">
        <v>299</v>
      </c>
      <c r="BA3" s="100" t="s">
        <v>298</v>
      </c>
      <c r="BB3" s="99" t="s">
        <v>299</v>
      </c>
      <c r="BC3" s="100" t="s">
        <v>298</v>
      </c>
      <c r="BD3" s="99" t="s">
        <v>299</v>
      </c>
      <c r="BE3" s="100" t="s">
        <v>298</v>
      </c>
      <c r="BF3" s="99" t="s">
        <v>299</v>
      </c>
      <c r="BG3" s="100" t="s">
        <v>298</v>
      </c>
      <c r="BH3" s="99" t="s">
        <v>299</v>
      </c>
      <c r="BI3" s="100" t="s">
        <v>298</v>
      </c>
      <c r="BJ3" s="99" t="s">
        <v>299</v>
      </c>
      <c r="BK3" s="100" t="s">
        <v>298</v>
      </c>
    </row>
    <row r="4" spans="1:63" x14ac:dyDescent="0.25">
      <c r="A4" s="109" t="s">
        <v>123</v>
      </c>
      <c r="B4" s="82">
        <v>0.3276</v>
      </c>
      <c r="C4" s="82">
        <v>0.5504</v>
      </c>
      <c r="D4" s="110">
        <v>0.45</v>
      </c>
      <c r="E4" s="110">
        <v>0.59</v>
      </c>
      <c r="F4" s="82">
        <v>0.14949999999999999</v>
      </c>
      <c r="G4" s="82">
        <v>0.1245</v>
      </c>
      <c r="H4" s="82">
        <v>0.2863</v>
      </c>
      <c r="I4" s="111">
        <v>0.11409999999999999</v>
      </c>
      <c r="J4" s="83">
        <v>0.28999999999999998</v>
      </c>
      <c r="K4" s="83">
        <v>0.38</v>
      </c>
      <c r="L4" s="82">
        <v>0.2311</v>
      </c>
      <c r="M4" s="82">
        <v>0.27510000000000001</v>
      </c>
      <c r="N4" s="82">
        <v>0.1283</v>
      </c>
      <c r="O4" s="82">
        <v>0.4304</v>
      </c>
      <c r="P4" s="82">
        <v>7.9000000000000001E-2</v>
      </c>
      <c r="Q4" s="82">
        <v>0.12690000000000001</v>
      </c>
      <c r="R4" s="81">
        <v>0.27</v>
      </c>
      <c r="S4" s="81">
        <v>0.55000000000000004</v>
      </c>
      <c r="T4" s="81">
        <v>0.1</v>
      </c>
      <c r="U4" s="81">
        <v>7.0000000000000007E-2</v>
      </c>
      <c r="V4" s="111">
        <v>0.30080000000000001</v>
      </c>
      <c r="W4" s="82">
        <v>0.24990000000000001</v>
      </c>
      <c r="X4" s="81">
        <v>0.17</v>
      </c>
      <c r="Y4" s="81">
        <v>0.21</v>
      </c>
      <c r="Z4" s="82">
        <v>0.31780000000000003</v>
      </c>
      <c r="AA4" s="82">
        <v>0.127</v>
      </c>
      <c r="AB4" s="81">
        <v>0.28000000000000003</v>
      </c>
      <c r="AC4" s="81">
        <v>0.56999999999999995</v>
      </c>
      <c r="AD4" s="82">
        <v>0.37</v>
      </c>
      <c r="AE4" s="111">
        <v>0.34</v>
      </c>
      <c r="AF4" s="82">
        <v>0.47899999999999998</v>
      </c>
      <c r="AG4" s="82">
        <v>0.57599999999999996</v>
      </c>
      <c r="AH4" s="81">
        <v>0.38</v>
      </c>
      <c r="AI4" s="81">
        <v>0.36</v>
      </c>
      <c r="AJ4" s="112">
        <v>0.1507</v>
      </c>
      <c r="AK4" s="113">
        <v>0.15110000000000001</v>
      </c>
      <c r="AL4" s="82">
        <v>-0.38</v>
      </c>
      <c r="AM4" s="82">
        <v>-0.16</v>
      </c>
      <c r="AN4" s="114">
        <v>0.49</v>
      </c>
      <c r="AO4" s="114">
        <v>0.43</v>
      </c>
      <c r="AP4" s="111">
        <v>4.7E-2</v>
      </c>
      <c r="AQ4" s="111">
        <v>0.24299999999999999</v>
      </c>
      <c r="AR4" s="110">
        <v>0.14000000000000001</v>
      </c>
      <c r="AS4" s="111">
        <v>0.1241</v>
      </c>
      <c r="AT4" s="111">
        <v>0.27500000000000002</v>
      </c>
      <c r="AU4" s="111">
        <v>0.191</v>
      </c>
      <c r="AV4" s="82">
        <v>3.7600000000000001E-2</v>
      </c>
      <c r="AW4" s="82">
        <v>0.15529999999999999</v>
      </c>
      <c r="AX4" s="82">
        <v>0.2346</v>
      </c>
      <c r="AY4" s="82">
        <v>0.25629999999999997</v>
      </c>
      <c r="AZ4" s="82">
        <v>0.14499999999999999</v>
      </c>
      <c r="BA4" s="82">
        <v>0.12590000000000001</v>
      </c>
      <c r="BB4" s="81">
        <v>0.31</v>
      </c>
      <c r="BC4" s="81">
        <v>0.34</v>
      </c>
      <c r="BD4" s="73">
        <v>1.67</v>
      </c>
      <c r="BE4" s="73">
        <v>1.76</v>
      </c>
      <c r="BF4" s="83">
        <v>7.84</v>
      </c>
      <c r="BG4" s="83">
        <v>10.95</v>
      </c>
      <c r="BH4" s="82">
        <v>0.158</v>
      </c>
      <c r="BI4" s="82">
        <v>0.158</v>
      </c>
      <c r="BJ4" s="82">
        <v>0.1164</v>
      </c>
      <c r="BK4" s="82">
        <v>0.2467</v>
      </c>
    </row>
    <row r="5" spans="1:63" ht="15" customHeight="1" x14ac:dyDescent="0.25">
      <c r="A5" s="109" t="s">
        <v>124</v>
      </c>
      <c r="B5" s="73">
        <v>0.39</v>
      </c>
      <c r="C5" s="73">
        <v>1.1200000000000001</v>
      </c>
      <c r="D5" s="115">
        <v>0.47</v>
      </c>
      <c r="E5" s="115">
        <v>1.48</v>
      </c>
      <c r="F5" s="83">
        <v>0.38</v>
      </c>
      <c r="G5" s="115">
        <v>1.9</v>
      </c>
      <c r="H5" s="73">
        <v>0.41</v>
      </c>
      <c r="I5" s="73">
        <v>1.25</v>
      </c>
      <c r="J5" s="83">
        <v>0.76</v>
      </c>
      <c r="K5" s="83">
        <v>2.21</v>
      </c>
      <c r="L5" s="83">
        <v>0.78</v>
      </c>
      <c r="M5" s="83">
        <v>2.11</v>
      </c>
      <c r="N5" s="83">
        <v>0.68</v>
      </c>
      <c r="O5" s="83">
        <v>1.97</v>
      </c>
      <c r="P5" s="83">
        <v>0.09</v>
      </c>
      <c r="Q5" s="73">
        <v>0.09</v>
      </c>
      <c r="R5" s="73">
        <v>0.93</v>
      </c>
      <c r="S5" s="73">
        <v>2.66</v>
      </c>
      <c r="T5" s="73">
        <v>0.9</v>
      </c>
      <c r="U5" s="73">
        <v>2.33</v>
      </c>
      <c r="V5" s="83">
        <v>1.07</v>
      </c>
      <c r="W5" s="83">
        <v>3.26</v>
      </c>
      <c r="X5" s="73">
        <v>0.6</v>
      </c>
      <c r="Y5" s="73">
        <v>1.6</v>
      </c>
      <c r="Z5" s="82"/>
      <c r="AA5" s="83">
        <v>1.86</v>
      </c>
      <c r="AB5" s="73">
        <v>0.72</v>
      </c>
      <c r="AC5" s="73">
        <v>1.99</v>
      </c>
      <c r="AD5" s="73">
        <v>0.65</v>
      </c>
      <c r="AE5" s="73">
        <v>1.79</v>
      </c>
      <c r="AF5" s="83">
        <v>1.1100000000000001</v>
      </c>
      <c r="AG5" s="83">
        <v>2.92</v>
      </c>
      <c r="AH5" s="114">
        <v>1.23</v>
      </c>
      <c r="AI5" s="114">
        <v>3.36</v>
      </c>
      <c r="AJ5" s="116">
        <v>7.18</v>
      </c>
      <c r="AK5" s="116">
        <v>24.37</v>
      </c>
      <c r="AL5" s="73">
        <v>0.09</v>
      </c>
      <c r="AM5" s="73">
        <v>0.26</v>
      </c>
      <c r="AN5" s="116">
        <v>1.26</v>
      </c>
      <c r="AO5" s="116">
        <v>3.46</v>
      </c>
      <c r="AP5" s="83">
        <v>0.42</v>
      </c>
      <c r="AQ5" s="83">
        <v>1.57</v>
      </c>
      <c r="AR5" s="73">
        <v>0.97</v>
      </c>
      <c r="AS5" s="73">
        <v>3.22</v>
      </c>
      <c r="AT5" s="73">
        <v>0.61</v>
      </c>
      <c r="AU5" s="73">
        <v>1.65</v>
      </c>
      <c r="AV5" s="73">
        <v>0.64</v>
      </c>
      <c r="AW5" s="73">
        <v>2.2999999999999998</v>
      </c>
      <c r="AX5" s="82">
        <v>0.25829999999999997</v>
      </c>
      <c r="AY5" s="82">
        <v>0.68320000000000003</v>
      </c>
      <c r="AZ5" s="73">
        <v>0.57999999999999996</v>
      </c>
      <c r="BA5" s="73">
        <v>1.64</v>
      </c>
      <c r="BB5" s="73">
        <v>0.87</v>
      </c>
      <c r="BC5" s="73">
        <v>2.39</v>
      </c>
      <c r="BD5" s="73">
        <v>0.45</v>
      </c>
      <c r="BE5" s="83">
        <v>1.4</v>
      </c>
      <c r="BF5" s="73">
        <v>-5.58</v>
      </c>
      <c r="BG5" s="73">
        <v>-3.31</v>
      </c>
      <c r="BH5" s="83">
        <v>31.34</v>
      </c>
      <c r="BI5" s="83">
        <v>31.34</v>
      </c>
      <c r="BJ5" s="83">
        <v>0.86</v>
      </c>
      <c r="BK5" s="83">
        <v>2.54</v>
      </c>
    </row>
    <row r="6" spans="1:63" x14ac:dyDescent="0.25">
      <c r="A6" s="109" t="s">
        <v>125</v>
      </c>
      <c r="B6" s="81">
        <v>2.5038999999999998</v>
      </c>
      <c r="C6" s="81">
        <v>2.5038999999999998</v>
      </c>
      <c r="D6" s="110">
        <v>2.4</v>
      </c>
      <c r="E6" s="110">
        <v>2.4</v>
      </c>
      <c r="F6" s="82">
        <v>0.13070000000000001</v>
      </c>
      <c r="G6" s="111">
        <v>0.13070000000000001</v>
      </c>
      <c r="H6" s="82">
        <v>0.1439</v>
      </c>
      <c r="I6" s="82">
        <v>0.1439</v>
      </c>
      <c r="J6" s="83">
        <v>0.04</v>
      </c>
      <c r="K6" s="83">
        <v>0.61</v>
      </c>
      <c r="L6" s="82">
        <v>6.7699999999999996E-2</v>
      </c>
      <c r="M6" s="82">
        <v>6.7699999999999996E-2</v>
      </c>
      <c r="N6" s="82">
        <v>0.70660000000000001</v>
      </c>
      <c r="O6" s="82">
        <v>0.70660000000000001</v>
      </c>
      <c r="P6" s="82">
        <v>0.31290000000000001</v>
      </c>
      <c r="Q6" s="81">
        <v>0.31290000000000001</v>
      </c>
      <c r="R6" s="81">
        <v>0.11</v>
      </c>
      <c r="S6" s="81">
        <v>0.25</v>
      </c>
      <c r="T6" s="81">
        <v>0.1</v>
      </c>
      <c r="U6" s="81">
        <v>0.1</v>
      </c>
      <c r="V6" s="82">
        <v>0.1202</v>
      </c>
      <c r="W6" s="82">
        <v>0.1202</v>
      </c>
      <c r="X6" s="81">
        <v>0.01</v>
      </c>
      <c r="Y6" s="81">
        <v>0.09</v>
      </c>
      <c r="Z6" s="82"/>
      <c r="AA6" s="82">
        <v>0.17249999999999999</v>
      </c>
      <c r="AB6" s="81">
        <v>0.42</v>
      </c>
      <c r="AC6" s="110">
        <v>0.42</v>
      </c>
      <c r="AD6" s="82">
        <v>-5.0000000000000001E-4</v>
      </c>
      <c r="AE6" s="82">
        <v>-5.0000000000000001E-4</v>
      </c>
      <c r="AF6" s="82">
        <v>0.46800000000000003</v>
      </c>
      <c r="AG6" s="82">
        <v>0.46800000000000003</v>
      </c>
      <c r="AH6" s="81">
        <v>0.5</v>
      </c>
      <c r="AI6" s="81">
        <v>0.5</v>
      </c>
      <c r="AJ6" s="113">
        <v>50.776600000000002</v>
      </c>
      <c r="AK6" s="113">
        <v>50.776600000000002</v>
      </c>
      <c r="AL6" s="82">
        <v>0.03</v>
      </c>
      <c r="AM6" s="82">
        <v>0.03</v>
      </c>
      <c r="AN6" s="114">
        <v>0.43</v>
      </c>
      <c r="AO6" s="114">
        <v>0.43</v>
      </c>
      <c r="AP6" s="111">
        <v>0.156</v>
      </c>
      <c r="AQ6" s="111">
        <v>0.156</v>
      </c>
      <c r="AR6" s="110">
        <v>2.4E-2</v>
      </c>
      <c r="AS6" s="110">
        <v>9.4E-2</v>
      </c>
      <c r="AT6" s="111">
        <v>2.1999999999999999E-2</v>
      </c>
      <c r="AU6" s="110">
        <v>2.1999999999999999E-2</v>
      </c>
      <c r="AV6" s="82">
        <v>5.6500000000000002E-2</v>
      </c>
      <c r="AW6" s="82">
        <v>5.6500000000000002E-2</v>
      </c>
      <c r="AX6" s="82">
        <v>1.6E-2</v>
      </c>
      <c r="AY6" s="82">
        <v>1.6E-2</v>
      </c>
      <c r="AZ6" s="82">
        <v>0.18060000000000001</v>
      </c>
      <c r="BA6" s="82">
        <v>0.18060000000000001</v>
      </c>
      <c r="BB6" s="81">
        <v>0.03</v>
      </c>
      <c r="BC6" s="81">
        <v>0.14000000000000001</v>
      </c>
      <c r="BD6" s="83">
        <v>5.6</v>
      </c>
      <c r="BE6" s="83">
        <v>5.6</v>
      </c>
      <c r="BF6" s="73">
        <v>-1032.93</v>
      </c>
      <c r="BG6" s="73">
        <v>-1032.93</v>
      </c>
      <c r="BH6" s="82">
        <v>-0.86150000000000004</v>
      </c>
      <c r="BI6" s="82">
        <v>-0.86150000000000004</v>
      </c>
      <c r="BJ6" s="82">
        <v>0.12239999999999999</v>
      </c>
      <c r="BK6" s="82">
        <v>0.12239999999999999</v>
      </c>
    </row>
    <row r="7" spans="1:63" x14ac:dyDescent="0.25">
      <c r="A7" s="109" t="s">
        <v>126</v>
      </c>
      <c r="B7" s="82">
        <v>0.69440000000000002</v>
      </c>
      <c r="C7" s="82">
        <v>0.73699999999999999</v>
      </c>
      <c r="D7" s="110">
        <v>0.83</v>
      </c>
      <c r="E7" s="81">
        <v>0.83</v>
      </c>
      <c r="F7" s="82">
        <v>0.47799999999999998</v>
      </c>
      <c r="G7" s="82">
        <v>0.46210000000000001</v>
      </c>
      <c r="H7" s="82">
        <v>0.57720000000000005</v>
      </c>
      <c r="I7" s="82">
        <v>0.52400000000000002</v>
      </c>
      <c r="J7" s="83">
        <v>0.88</v>
      </c>
      <c r="K7" s="83">
        <v>0.87</v>
      </c>
      <c r="L7" s="82">
        <v>0.76929999999999998</v>
      </c>
      <c r="M7" s="82">
        <v>0.74329999999999996</v>
      </c>
      <c r="N7" s="82">
        <v>0.85419999999999996</v>
      </c>
      <c r="O7" s="82">
        <v>0.79120000000000001</v>
      </c>
      <c r="P7" s="82">
        <v>0.81540000000000001</v>
      </c>
      <c r="Q7" s="81">
        <v>0.8135</v>
      </c>
      <c r="R7" s="81">
        <v>0.7</v>
      </c>
      <c r="S7" s="81">
        <v>0.67</v>
      </c>
      <c r="T7" s="81">
        <v>0.53</v>
      </c>
      <c r="U7" s="117">
        <v>0.6</v>
      </c>
      <c r="V7" s="82">
        <v>0.54269999999999996</v>
      </c>
      <c r="W7" s="82">
        <v>0.52239999999999998</v>
      </c>
      <c r="X7" s="81">
        <v>0.74</v>
      </c>
      <c r="Y7" s="81">
        <v>0.7</v>
      </c>
      <c r="Z7" s="82">
        <v>0.69410000000000005</v>
      </c>
      <c r="AA7" s="82">
        <v>0.69579999999999997</v>
      </c>
      <c r="AB7" s="81">
        <v>0.69</v>
      </c>
      <c r="AC7" s="81">
        <v>0.71</v>
      </c>
      <c r="AD7" s="118">
        <v>0.92</v>
      </c>
      <c r="AE7" s="118">
        <v>0.88</v>
      </c>
      <c r="AF7" s="82">
        <v>0.80500000000000005</v>
      </c>
      <c r="AG7" s="82">
        <v>0.76700000000000002</v>
      </c>
      <c r="AH7" s="81">
        <v>0.95</v>
      </c>
      <c r="AI7" s="81">
        <v>0.96</v>
      </c>
      <c r="AJ7" s="113">
        <v>0.79330000000000001</v>
      </c>
      <c r="AK7" s="113">
        <v>0.79920000000000002</v>
      </c>
      <c r="AL7" s="82">
        <v>0.57999999999999996</v>
      </c>
      <c r="AM7" s="82">
        <v>0.65</v>
      </c>
      <c r="AN7" s="114">
        <v>0.78</v>
      </c>
      <c r="AO7" s="114">
        <v>0.78</v>
      </c>
      <c r="AP7" s="111">
        <v>0.82399999999999995</v>
      </c>
      <c r="AQ7" s="111">
        <v>0.83199999999999996</v>
      </c>
      <c r="AR7" s="110">
        <v>0.64</v>
      </c>
      <c r="AS7" s="110">
        <v>0.57999999999999996</v>
      </c>
      <c r="AT7" s="111">
        <v>0.80100000000000005</v>
      </c>
      <c r="AU7" s="111">
        <v>0.75600000000000001</v>
      </c>
      <c r="AV7" s="82">
        <v>0.61080000000000001</v>
      </c>
      <c r="AW7" s="82">
        <v>0.54330000000000001</v>
      </c>
      <c r="AX7" s="82">
        <v>0.91190000000000004</v>
      </c>
      <c r="AY7" s="82">
        <v>0.91520000000000001</v>
      </c>
      <c r="AZ7" s="82">
        <v>0.95050000000000001</v>
      </c>
      <c r="BA7" s="82">
        <v>0.95120000000000005</v>
      </c>
      <c r="BB7" s="81">
        <v>0.59</v>
      </c>
      <c r="BC7" s="81">
        <v>0.64</v>
      </c>
      <c r="BD7" s="83">
        <v>80.3</v>
      </c>
      <c r="BE7" s="83">
        <v>79.319999999999993</v>
      </c>
      <c r="BF7" s="73">
        <v>85.75</v>
      </c>
      <c r="BG7" s="73">
        <v>85.77</v>
      </c>
      <c r="BH7" s="82">
        <v>0.85489999999999999</v>
      </c>
      <c r="BI7" s="82">
        <v>0.85489999999999999</v>
      </c>
      <c r="BJ7" s="82">
        <v>0.39069999999999999</v>
      </c>
      <c r="BK7" s="82">
        <v>0.55269999999999997</v>
      </c>
    </row>
    <row r="8" spans="1:63" x14ac:dyDescent="0.25">
      <c r="A8" s="109" t="s">
        <v>127</v>
      </c>
      <c r="B8" s="82">
        <v>2.8E-3</v>
      </c>
      <c r="C8" s="82">
        <v>3.2000000000000002E-3</v>
      </c>
      <c r="D8" s="110">
        <v>0.08</v>
      </c>
      <c r="E8" s="81">
        <v>0.05</v>
      </c>
      <c r="F8" s="82">
        <v>-2.0999999999999999E-3</v>
      </c>
      <c r="G8" s="82">
        <v>-9.4999999999999998E-3</v>
      </c>
      <c r="H8" s="82">
        <v>-2.6100000000000002E-2</v>
      </c>
      <c r="I8" s="82">
        <v>-4.9399999999999999E-2</v>
      </c>
      <c r="J8" s="83">
        <v>0.12</v>
      </c>
      <c r="K8" s="83">
        <v>0.1</v>
      </c>
      <c r="L8" s="82">
        <v>3.0099999999999998E-2</v>
      </c>
      <c r="M8" s="82">
        <v>3.2599999999999997E-2</v>
      </c>
      <c r="N8" s="82">
        <v>4.5999999999999999E-3</v>
      </c>
      <c r="O8" s="82">
        <v>2.2700000000000001E-2</v>
      </c>
      <c r="P8" s="82">
        <v>-5.0000000000000001E-3</v>
      </c>
      <c r="Q8" s="81">
        <v>-9.9000000000000008E-3</v>
      </c>
      <c r="R8" s="81">
        <v>0.01</v>
      </c>
      <c r="S8" s="81">
        <v>0.02</v>
      </c>
      <c r="T8" s="81">
        <v>0.01</v>
      </c>
      <c r="U8" s="117">
        <v>1.7399999999999999E-2</v>
      </c>
      <c r="V8" s="82">
        <v>-6.7000000000000002E-3</v>
      </c>
      <c r="W8" s="82">
        <v>-2.6200000000000001E-2</v>
      </c>
      <c r="X8" s="81">
        <v>0.04</v>
      </c>
      <c r="Y8" s="81">
        <v>0.03</v>
      </c>
      <c r="Z8" s="82">
        <v>6.9099999999999995E-2</v>
      </c>
      <c r="AA8" s="82">
        <v>7.0699999999999999E-2</v>
      </c>
      <c r="AB8" s="81">
        <v>0.05</v>
      </c>
      <c r="AC8" s="81">
        <v>0.03</v>
      </c>
      <c r="AD8" s="118">
        <v>0.1</v>
      </c>
      <c r="AE8" s="118">
        <v>0.1</v>
      </c>
      <c r="AF8" s="82">
        <v>4.3999999999999997E-2</v>
      </c>
      <c r="AG8" s="82">
        <v>4.8000000000000001E-2</v>
      </c>
      <c r="AH8" s="81">
        <v>0.11</v>
      </c>
      <c r="AI8" s="81">
        <v>0.1</v>
      </c>
      <c r="AJ8" s="113">
        <v>7.5200000000000003E-2</v>
      </c>
      <c r="AK8" s="113">
        <v>6.7000000000000004E-2</v>
      </c>
      <c r="AL8" s="82">
        <v>-0.03</v>
      </c>
      <c r="AM8" s="82">
        <v>-0.03</v>
      </c>
      <c r="AN8" s="114">
        <v>0.05</v>
      </c>
      <c r="AO8" s="114">
        <v>0.04</v>
      </c>
      <c r="AP8" s="111">
        <v>0.124</v>
      </c>
      <c r="AQ8" s="111">
        <v>0.14099999999999999</v>
      </c>
      <c r="AR8" s="110">
        <v>-0.03</v>
      </c>
      <c r="AS8" s="110">
        <v>-3.0800000000000001E-2</v>
      </c>
      <c r="AT8" s="111">
        <v>7.8E-2</v>
      </c>
      <c r="AU8" s="111">
        <v>5.2999999999999999E-2</v>
      </c>
      <c r="AV8" s="82">
        <v>4.9399999999999999E-2</v>
      </c>
      <c r="AW8" s="82">
        <v>2.9600000000000001E-2</v>
      </c>
      <c r="AX8" s="82">
        <v>5.4600000000000003E-2</v>
      </c>
      <c r="AY8" s="82">
        <v>5.4199999999999998E-2</v>
      </c>
      <c r="AZ8" s="82">
        <v>0.1368</v>
      </c>
      <c r="BA8" s="82">
        <v>0.1346</v>
      </c>
      <c r="BB8" s="81">
        <v>7.0000000000000007E-2</v>
      </c>
      <c r="BC8" s="81">
        <v>0.06</v>
      </c>
      <c r="BD8" s="73">
        <v>8.2200000000000006</v>
      </c>
      <c r="BE8" s="73">
        <v>7.76</v>
      </c>
      <c r="BF8" s="73">
        <v>7.29</v>
      </c>
      <c r="BG8" s="73">
        <v>6.53</v>
      </c>
      <c r="BH8" s="81">
        <v>6.9000000000000006E-2</v>
      </c>
      <c r="BI8" s="82">
        <v>6.9000000000000006E-2</v>
      </c>
      <c r="BJ8" s="82">
        <v>-8.1199999999999994E-2</v>
      </c>
      <c r="BK8" s="82">
        <v>1.8E-3</v>
      </c>
    </row>
    <row r="9" spans="1:63" ht="30" x14ac:dyDescent="0.25">
      <c r="A9" s="109" t="s">
        <v>128</v>
      </c>
      <c r="B9" s="82">
        <v>0.49780000000000002</v>
      </c>
      <c r="C9" s="82">
        <v>0.50470000000000004</v>
      </c>
      <c r="D9" s="110">
        <v>0.43</v>
      </c>
      <c r="E9" s="81">
        <v>0.47</v>
      </c>
      <c r="F9" s="82">
        <v>5.3699999999999998E-2</v>
      </c>
      <c r="G9" s="82">
        <v>3.2300000000000002E-2</v>
      </c>
      <c r="H9" s="82">
        <v>0.25180000000000002</v>
      </c>
      <c r="I9" s="82">
        <v>0.23019999999999999</v>
      </c>
      <c r="J9" s="83">
        <v>0.4</v>
      </c>
      <c r="K9" s="83">
        <v>0.39</v>
      </c>
      <c r="L9" s="82">
        <v>0.36449999999999999</v>
      </c>
      <c r="M9" s="82">
        <v>0.36599999999999999</v>
      </c>
      <c r="N9" s="82">
        <v>0.44950000000000001</v>
      </c>
      <c r="O9" s="82">
        <v>0.3987</v>
      </c>
      <c r="P9" s="82">
        <v>0.24260000000000001</v>
      </c>
      <c r="Q9" s="81">
        <v>0.2843</v>
      </c>
      <c r="R9" s="81">
        <v>0.44</v>
      </c>
      <c r="S9" s="81">
        <v>0.44</v>
      </c>
      <c r="T9" s="117">
        <v>0.3</v>
      </c>
      <c r="U9" s="117">
        <v>0.32</v>
      </c>
      <c r="V9" s="82">
        <v>0.25669999999999998</v>
      </c>
      <c r="W9" s="82">
        <v>0.2404</v>
      </c>
      <c r="X9" s="81">
        <v>0.31</v>
      </c>
      <c r="Y9" s="81">
        <v>0.28999999999999998</v>
      </c>
      <c r="Z9" s="82">
        <v>0.20569999999999999</v>
      </c>
      <c r="AA9" s="82">
        <v>0.19989999999999999</v>
      </c>
      <c r="AB9" s="81">
        <v>0.43</v>
      </c>
      <c r="AC9" s="81">
        <v>0.42</v>
      </c>
      <c r="AD9" s="118">
        <v>0.4</v>
      </c>
      <c r="AE9" s="118">
        <v>0.4</v>
      </c>
      <c r="AF9" s="82">
        <v>0.45200000000000001</v>
      </c>
      <c r="AG9" s="82">
        <v>0.45300000000000001</v>
      </c>
      <c r="AH9" s="81">
        <v>0.56999999999999995</v>
      </c>
      <c r="AI9" s="81">
        <v>0.5</v>
      </c>
      <c r="AJ9" s="112">
        <v>0.31929999999999997</v>
      </c>
      <c r="AK9" s="112">
        <v>0.4</v>
      </c>
      <c r="AL9" s="82">
        <v>0.63</v>
      </c>
      <c r="AM9" s="82">
        <v>0.66</v>
      </c>
      <c r="AN9" s="114">
        <v>0.44</v>
      </c>
      <c r="AO9" s="114">
        <v>0.42</v>
      </c>
      <c r="AP9" s="111">
        <v>0.71599999999999997</v>
      </c>
      <c r="AQ9" s="111">
        <v>0.55800000000000005</v>
      </c>
      <c r="AR9" s="110">
        <v>0.32</v>
      </c>
      <c r="AS9" s="110">
        <v>0.25719999999999998</v>
      </c>
      <c r="AT9" s="111">
        <v>0.32900000000000001</v>
      </c>
      <c r="AU9" s="111">
        <v>0.32700000000000001</v>
      </c>
      <c r="AV9" s="82">
        <v>0.29049999999999998</v>
      </c>
      <c r="AW9" s="82">
        <v>0.23599999999999999</v>
      </c>
      <c r="AX9" s="82">
        <v>0.33239999999999997</v>
      </c>
      <c r="AY9" s="82">
        <v>0.3407</v>
      </c>
      <c r="AZ9" s="82">
        <v>0.30590000000000001</v>
      </c>
      <c r="BA9" s="82">
        <v>0.30330000000000001</v>
      </c>
      <c r="BB9" s="81">
        <v>0.28000000000000003</v>
      </c>
      <c r="BC9" s="81">
        <v>0.3</v>
      </c>
      <c r="BD9" s="73">
        <v>21.68</v>
      </c>
      <c r="BE9" s="73">
        <v>19.170000000000002</v>
      </c>
      <c r="BF9" s="73">
        <v>29.36</v>
      </c>
      <c r="BG9" s="73">
        <v>40.85</v>
      </c>
      <c r="BH9" s="73">
        <v>38.119999999999997</v>
      </c>
      <c r="BI9" s="73">
        <v>38.119999999999997</v>
      </c>
      <c r="BJ9" s="82">
        <v>0.1837</v>
      </c>
      <c r="BK9" s="82">
        <v>0.19</v>
      </c>
    </row>
    <row r="10" spans="1:63" ht="30" x14ac:dyDescent="0.25">
      <c r="A10" s="109" t="s">
        <v>129</v>
      </c>
      <c r="B10" s="73">
        <v>68.95</v>
      </c>
      <c r="C10" s="73">
        <v>65.66</v>
      </c>
      <c r="D10" s="110">
        <v>0.45</v>
      </c>
      <c r="E10" s="81">
        <v>0.49</v>
      </c>
      <c r="F10" s="82">
        <v>0.11169999999999999</v>
      </c>
      <c r="G10" s="82">
        <v>6.9800000000000001E-2</v>
      </c>
      <c r="H10" s="82">
        <v>0.28199999999999997</v>
      </c>
      <c r="I10" s="82">
        <v>0.2641</v>
      </c>
      <c r="J10" s="83">
        <v>0.39</v>
      </c>
      <c r="K10" s="83">
        <v>0.38</v>
      </c>
      <c r="L10" s="82">
        <v>0.37990000000000002</v>
      </c>
      <c r="M10" s="82">
        <v>0.4</v>
      </c>
      <c r="N10" s="82">
        <v>0.39450000000000002</v>
      </c>
      <c r="O10" s="82">
        <v>0.38919999999999999</v>
      </c>
      <c r="P10" s="82">
        <v>0.29749999999999999</v>
      </c>
      <c r="Q10" s="81">
        <v>0.34949999999999998</v>
      </c>
      <c r="R10" s="81">
        <v>0.48</v>
      </c>
      <c r="S10" s="81">
        <v>0.53</v>
      </c>
      <c r="T10" s="117">
        <v>0.56999999999999995</v>
      </c>
      <c r="U10" s="117">
        <v>0.53</v>
      </c>
      <c r="V10" s="82">
        <v>0.28939999999999999</v>
      </c>
      <c r="W10" s="82">
        <v>0.25940000000000002</v>
      </c>
      <c r="X10" s="81">
        <v>0.41</v>
      </c>
      <c r="Y10" s="81">
        <v>0.4</v>
      </c>
      <c r="Z10" s="82">
        <v>0.24540000000000001</v>
      </c>
      <c r="AA10" s="82">
        <v>0.2351</v>
      </c>
      <c r="AB10" s="81">
        <v>0.54</v>
      </c>
      <c r="AC10" s="81">
        <v>0.5</v>
      </c>
      <c r="AD10" s="118">
        <v>0.42</v>
      </c>
      <c r="AE10" s="118">
        <v>0.44</v>
      </c>
      <c r="AF10" s="82">
        <v>0.50900000000000001</v>
      </c>
      <c r="AG10" s="82">
        <v>0.53200000000000003</v>
      </c>
      <c r="AH10" s="81">
        <v>0.59</v>
      </c>
      <c r="AI10" s="81">
        <v>0.52</v>
      </c>
      <c r="AJ10" s="112">
        <v>0.38319999999999999</v>
      </c>
      <c r="AK10" s="112">
        <v>0.47699999999999998</v>
      </c>
      <c r="AL10" s="82">
        <v>1.05</v>
      </c>
      <c r="AM10" s="82">
        <v>0.94</v>
      </c>
      <c r="AN10" s="114">
        <v>0.56000000000000005</v>
      </c>
      <c r="AO10" s="114">
        <v>0.54</v>
      </c>
      <c r="AP10" s="111">
        <v>0.80300000000000005</v>
      </c>
      <c r="AQ10" s="111">
        <v>0.63500000000000001</v>
      </c>
      <c r="AR10" s="110">
        <v>0.37</v>
      </c>
      <c r="AS10" s="110">
        <v>0.31540000000000001</v>
      </c>
      <c r="AT10" s="111">
        <v>0.35699999999999998</v>
      </c>
      <c r="AU10" s="111">
        <v>0.34399999999999997</v>
      </c>
      <c r="AV10" s="82">
        <v>0.36649999999999999</v>
      </c>
      <c r="AW10" s="82">
        <v>0.31430000000000002</v>
      </c>
      <c r="AX10" s="82">
        <v>0.36120000000000002</v>
      </c>
      <c r="AY10" s="82">
        <v>0.36980000000000002</v>
      </c>
      <c r="AZ10" s="82">
        <v>0.31040000000000001</v>
      </c>
      <c r="BA10" s="82">
        <v>0.308</v>
      </c>
      <c r="BB10" s="81">
        <v>0.37</v>
      </c>
      <c r="BC10" s="81">
        <v>0.37</v>
      </c>
      <c r="BD10" s="73">
        <v>24.81</v>
      </c>
      <c r="BE10" s="73">
        <v>23.35</v>
      </c>
      <c r="BF10" s="73">
        <v>33.47</v>
      </c>
      <c r="BG10" s="73">
        <v>46.01</v>
      </c>
      <c r="BH10" s="82">
        <v>0.42980000000000002</v>
      </c>
      <c r="BI10" s="82">
        <v>0.42980000000000002</v>
      </c>
      <c r="BJ10" s="82">
        <v>0.2402</v>
      </c>
      <c r="BK10" s="82">
        <v>0.21590000000000001</v>
      </c>
    </row>
    <row r="11" spans="1:63" ht="15" customHeight="1" x14ac:dyDescent="0.25">
      <c r="A11" s="109" t="s">
        <v>130</v>
      </c>
      <c r="B11" s="82">
        <v>0.84079999999999999</v>
      </c>
      <c r="C11" s="82">
        <v>0.8609</v>
      </c>
      <c r="D11" s="110">
        <v>0.73</v>
      </c>
      <c r="E11" s="81">
        <v>0.65</v>
      </c>
      <c r="F11" s="110">
        <v>0.97330000000000005</v>
      </c>
      <c r="G11" s="82">
        <v>0.96389999999999998</v>
      </c>
      <c r="H11" s="82">
        <v>0.72130000000000005</v>
      </c>
      <c r="I11" s="82">
        <v>0.75070000000000003</v>
      </c>
      <c r="J11" s="83">
        <v>0.55000000000000004</v>
      </c>
      <c r="K11" s="83">
        <v>0.55000000000000004</v>
      </c>
      <c r="L11" s="82">
        <v>0.69730000000000003</v>
      </c>
      <c r="M11" s="82">
        <v>0.71389999999999998</v>
      </c>
      <c r="N11" s="82">
        <v>0.66300000000000003</v>
      </c>
      <c r="O11" s="82">
        <v>0.7016</v>
      </c>
      <c r="P11" s="82">
        <v>-2.4097</v>
      </c>
      <c r="Q11" s="81">
        <v>-1.3805000000000001</v>
      </c>
      <c r="R11" s="81">
        <v>0.82</v>
      </c>
      <c r="S11" s="81">
        <v>0.87</v>
      </c>
      <c r="T11" s="117">
        <v>0.68</v>
      </c>
      <c r="U11" s="117">
        <v>0.68</v>
      </c>
      <c r="V11" s="82">
        <v>0.7873</v>
      </c>
      <c r="W11" s="82">
        <v>0.79</v>
      </c>
      <c r="X11" s="81">
        <v>0.7</v>
      </c>
      <c r="Y11" s="81">
        <v>0.72</v>
      </c>
      <c r="Z11" s="82">
        <v>0.85150000000000003</v>
      </c>
      <c r="AA11" s="82">
        <v>0.87009999999999998</v>
      </c>
      <c r="AB11" s="81">
        <v>0.68</v>
      </c>
      <c r="AC11" s="81">
        <v>0.69</v>
      </c>
      <c r="AD11" s="118">
        <v>0.71</v>
      </c>
      <c r="AE11" s="118">
        <v>0.71</v>
      </c>
      <c r="AF11" s="82">
        <v>0.69499999999999995</v>
      </c>
      <c r="AG11" s="82">
        <v>0.69799999999999995</v>
      </c>
      <c r="AH11" s="81">
        <v>0.66</v>
      </c>
      <c r="AI11" s="81">
        <v>0.67</v>
      </c>
      <c r="AJ11" s="112">
        <v>1.0315000000000001</v>
      </c>
      <c r="AK11" s="112">
        <v>0.95030000000000003</v>
      </c>
      <c r="AL11" s="82">
        <v>0.6</v>
      </c>
      <c r="AM11" s="82">
        <v>0.68</v>
      </c>
      <c r="AN11" s="114">
        <v>0.56999999999999995</v>
      </c>
      <c r="AO11" s="114">
        <v>0.56999999999999995</v>
      </c>
      <c r="AP11" s="111">
        <v>0.71299999999999997</v>
      </c>
      <c r="AQ11" s="111">
        <v>0.77100000000000002</v>
      </c>
      <c r="AR11" s="110">
        <v>0.78</v>
      </c>
      <c r="AS11" s="110">
        <v>0.77969999999999995</v>
      </c>
      <c r="AT11" s="111">
        <v>0.76300000000000001</v>
      </c>
      <c r="AU11" s="111">
        <v>0.80900000000000005</v>
      </c>
      <c r="AV11" s="82">
        <v>0.79890000000000005</v>
      </c>
      <c r="AW11" s="82">
        <v>0.78120000000000001</v>
      </c>
      <c r="AX11" s="82">
        <v>0.75019999999999998</v>
      </c>
      <c r="AY11" s="82">
        <v>0.75019999999999998</v>
      </c>
      <c r="AZ11" s="82">
        <v>0.63749999999999996</v>
      </c>
      <c r="BA11" s="82">
        <v>0.66049999999999998</v>
      </c>
      <c r="BB11" s="81">
        <v>0.74</v>
      </c>
      <c r="BC11" s="81">
        <v>0.75</v>
      </c>
      <c r="BD11" s="73">
        <v>90.58</v>
      </c>
      <c r="BE11" s="73">
        <v>94.7</v>
      </c>
      <c r="BF11" s="73">
        <v>108.32</v>
      </c>
      <c r="BG11" s="73">
        <v>111.26</v>
      </c>
      <c r="BH11" s="82">
        <v>0.94510000000000005</v>
      </c>
      <c r="BI11" s="82">
        <v>0.94510000000000005</v>
      </c>
      <c r="BJ11" s="82">
        <v>0.84860000000000002</v>
      </c>
      <c r="BK11" s="82">
        <v>0.76570000000000005</v>
      </c>
    </row>
    <row r="12" spans="1:63" ht="15" customHeight="1" x14ac:dyDescent="0.25">
      <c r="A12" s="109" t="s">
        <v>259</v>
      </c>
      <c r="B12" s="82">
        <v>0.2059</v>
      </c>
      <c r="C12" s="82">
        <v>0.28839999999999999</v>
      </c>
      <c r="D12" s="110">
        <v>0</v>
      </c>
      <c r="E12" s="81">
        <v>0.69</v>
      </c>
      <c r="F12" s="110">
        <v>0.18559999999999999</v>
      </c>
      <c r="G12" s="82">
        <v>0.34899999999999998</v>
      </c>
      <c r="H12" s="82">
        <v>0.1143</v>
      </c>
      <c r="I12" s="82">
        <v>0.22489999999999999</v>
      </c>
      <c r="J12" s="83">
        <v>0.97</v>
      </c>
      <c r="K12" s="83">
        <v>0.94</v>
      </c>
      <c r="L12" s="82">
        <v>9.4399999999999998E-2</v>
      </c>
      <c r="M12" s="82">
        <v>0.2455</v>
      </c>
      <c r="N12" s="82">
        <v>5.0599999999999999E-2</v>
      </c>
      <c r="O12" s="82">
        <v>7.8799999999999995E-2</v>
      </c>
      <c r="P12" s="82">
        <v>2.3699999999999999E-2</v>
      </c>
      <c r="Q12" s="81">
        <v>6.88E-2</v>
      </c>
      <c r="R12" s="81">
        <v>0.38</v>
      </c>
      <c r="S12" s="81">
        <v>0.4</v>
      </c>
      <c r="T12" s="117">
        <v>0.16</v>
      </c>
      <c r="U12" s="117">
        <v>0.41</v>
      </c>
      <c r="V12" s="82">
        <v>0.1258</v>
      </c>
      <c r="W12" s="82">
        <v>0.1177</v>
      </c>
      <c r="X12" s="81">
        <v>0.09</v>
      </c>
      <c r="Y12" s="81">
        <v>0.13</v>
      </c>
      <c r="Z12" s="82">
        <v>0.10009999999999999</v>
      </c>
      <c r="AA12" s="82">
        <v>0.19089999999999999</v>
      </c>
      <c r="AB12" s="81">
        <v>0.05</v>
      </c>
      <c r="AC12" s="81">
        <v>0.28999999999999998</v>
      </c>
      <c r="AD12" s="118">
        <v>0.75</v>
      </c>
      <c r="AE12" s="118">
        <v>0.69</v>
      </c>
      <c r="AF12" s="126">
        <v>0.129</v>
      </c>
      <c r="AG12" s="126">
        <v>0.28699999999999998</v>
      </c>
      <c r="AH12" s="81">
        <v>0.51</v>
      </c>
      <c r="AI12" s="81">
        <v>0.62</v>
      </c>
      <c r="AJ12" s="112"/>
      <c r="AK12" s="112"/>
      <c r="AL12" s="119">
        <v>0.24</v>
      </c>
      <c r="AM12" s="81">
        <v>0.24</v>
      </c>
      <c r="AN12" s="114">
        <v>0.89</v>
      </c>
      <c r="AO12" s="114">
        <v>0.89</v>
      </c>
      <c r="AP12" s="111">
        <v>4.4999999999999998E-2</v>
      </c>
      <c r="AQ12" s="110">
        <v>0.09</v>
      </c>
      <c r="AR12" s="110">
        <v>4.5999999999999999E-2</v>
      </c>
      <c r="AS12" s="110">
        <v>0.19</v>
      </c>
      <c r="AT12" s="111">
        <v>0.161</v>
      </c>
      <c r="AU12" s="111">
        <v>0.30099999999999999</v>
      </c>
      <c r="AV12" s="82">
        <v>0.15340000000000001</v>
      </c>
      <c r="AW12" s="82">
        <v>0.28260000000000002</v>
      </c>
      <c r="AX12" s="82">
        <v>8.2000000000000003E-2</v>
      </c>
      <c r="AY12" s="82">
        <v>0.2072</v>
      </c>
      <c r="AZ12" s="82">
        <v>3.9899999999999998E-2</v>
      </c>
      <c r="BA12" s="82">
        <v>0.67210000000000003</v>
      </c>
      <c r="BB12" s="81">
        <v>0.06</v>
      </c>
      <c r="BC12" s="81">
        <v>0.12</v>
      </c>
      <c r="BD12" s="83"/>
      <c r="BE12" s="83"/>
      <c r="BF12" s="84">
        <v>43.15</v>
      </c>
      <c r="BG12" s="73">
        <v>43.15</v>
      </c>
      <c r="BH12" s="82"/>
      <c r="BI12" s="82"/>
      <c r="BJ12" s="82">
        <v>0.16200000000000001</v>
      </c>
      <c r="BK12" s="82">
        <v>0.28299999999999997</v>
      </c>
    </row>
    <row r="13" spans="1:63" ht="15" customHeight="1" x14ac:dyDescent="0.25">
      <c r="A13" s="109" t="s">
        <v>131</v>
      </c>
      <c r="B13" s="82">
        <v>1.5303</v>
      </c>
      <c r="C13" s="82">
        <v>1.5174000000000001</v>
      </c>
      <c r="D13" s="110">
        <v>1.18</v>
      </c>
      <c r="E13" s="81">
        <v>1.1399999999999999</v>
      </c>
      <c r="F13" s="82">
        <v>1.0642</v>
      </c>
      <c r="G13" s="82">
        <v>1.0124</v>
      </c>
      <c r="H13" s="82">
        <v>1.0033000000000001</v>
      </c>
      <c r="I13" s="82">
        <v>1.0147999999999999</v>
      </c>
      <c r="J13" s="83">
        <v>0.94</v>
      </c>
      <c r="K13" s="83">
        <v>0.93</v>
      </c>
      <c r="L13" s="82">
        <v>1.0771999999999999</v>
      </c>
      <c r="M13" s="82">
        <v>1.1138999999999999</v>
      </c>
      <c r="N13" s="82">
        <v>1.0575000000000001</v>
      </c>
      <c r="O13" s="82">
        <v>1.0908</v>
      </c>
      <c r="P13" s="82">
        <v>-2.1438000000000001</v>
      </c>
      <c r="Q13" s="81">
        <v>-1.0630999999999999</v>
      </c>
      <c r="R13" s="81">
        <v>1.3</v>
      </c>
      <c r="S13" s="81">
        <v>1.39</v>
      </c>
      <c r="T13" s="117">
        <v>1.1599999999999999</v>
      </c>
      <c r="U13" s="117">
        <v>1.1100000000000001</v>
      </c>
      <c r="V13" s="82">
        <v>1.0767</v>
      </c>
      <c r="W13" s="82">
        <v>1.0495000000000001</v>
      </c>
      <c r="X13" s="82">
        <v>1.044</v>
      </c>
      <c r="Y13" s="82">
        <v>1.046</v>
      </c>
      <c r="Z13" s="82">
        <v>1.0969</v>
      </c>
      <c r="AA13" s="82">
        <v>1.1052999999999999</v>
      </c>
      <c r="AB13" s="81">
        <v>1.22</v>
      </c>
      <c r="AC13" s="81">
        <v>1.19</v>
      </c>
      <c r="AD13" s="118">
        <v>1.1299999999999999</v>
      </c>
      <c r="AE13" s="118">
        <v>1.1499999999999999</v>
      </c>
      <c r="AF13" s="82">
        <v>1.204</v>
      </c>
      <c r="AG13" s="82">
        <v>1.2310000000000001</v>
      </c>
      <c r="AH13" s="81">
        <v>1.26</v>
      </c>
      <c r="AI13" s="81">
        <v>1.18</v>
      </c>
      <c r="AJ13" s="112">
        <v>1.4148000000000001</v>
      </c>
      <c r="AK13" s="112">
        <v>1.4275</v>
      </c>
      <c r="AL13" s="82">
        <v>1.65</v>
      </c>
      <c r="AM13" s="82">
        <v>1.62</v>
      </c>
      <c r="AN13" s="114">
        <v>1.02</v>
      </c>
      <c r="AO13" s="114">
        <v>1</v>
      </c>
      <c r="AP13" s="111">
        <v>1.516</v>
      </c>
      <c r="AQ13" s="111">
        <v>1.4059999999999999</v>
      </c>
      <c r="AR13" s="110">
        <v>1.1499999999999999</v>
      </c>
      <c r="AS13" s="111">
        <v>1.0952</v>
      </c>
      <c r="AT13" s="111">
        <v>1.1200000000000001</v>
      </c>
      <c r="AU13" s="111">
        <v>1.153</v>
      </c>
      <c r="AV13" s="82">
        <v>1.1653</v>
      </c>
      <c r="AW13" s="82">
        <v>1.0954999999999999</v>
      </c>
      <c r="AX13" s="82">
        <v>1.0729</v>
      </c>
      <c r="AY13" s="82">
        <v>1.1143000000000001</v>
      </c>
      <c r="AZ13" s="82">
        <v>0.94789999999999996</v>
      </c>
      <c r="BA13" s="82">
        <v>0.96860000000000002</v>
      </c>
      <c r="BB13" s="81">
        <v>1.1200000000000001</v>
      </c>
      <c r="BC13" s="81">
        <v>1.1100000000000001</v>
      </c>
      <c r="BD13" s="73">
        <v>115.39</v>
      </c>
      <c r="BE13" s="73">
        <v>116.37</v>
      </c>
      <c r="BF13" s="73">
        <v>93.84</v>
      </c>
      <c r="BG13" s="83">
        <v>156.36000000000001</v>
      </c>
      <c r="BH13" s="82">
        <v>1.3749</v>
      </c>
      <c r="BI13" s="82">
        <v>1.3749</v>
      </c>
      <c r="BJ13" s="82">
        <v>1.0887</v>
      </c>
      <c r="BK13" s="82">
        <v>0.98160000000000003</v>
      </c>
    </row>
    <row r="14" spans="1:63" ht="15" customHeight="1" x14ac:dyDescent="0.25">
      <c r="A14" s="109" t="s">
        <v>260</v>
      </c>
      <c r="B14" s="82">
        <v>6.88E-2</v>
      </c>
      <c r="C14" s="82">
        <v>6.6600000000000006E-2</v>
      </c>
      <c r="D14" s="110">
        <v>0.02</v>
      </c>
      <c r="E14" s="81">
        <v>0.05</v>
      </c>
      <c r="F14" s="82">
        <v>1.5800000000000002E-2</v>
      </c>
      <c r="G14" s="82">
        <v>4.9200000000000001E-2</v>
      </c>
      <c r="H14" s="82">
        <v>1.6500000000000001E-2</v>
      </c>
      <c r="I14" s="82">
        <v>6.13E-2</v>
      </c>
      <c r="J14" s="83">
        <v>0.02</v>
      </c>
      <c r="K14" s="83">
        <v>0.05</v>
      </c>
      <c r="L14" s="82">
        <v>1.7399999999999999E-2</v>
      </c>
      <c r="M14" s="82">
        <v>4.99E-2</v>
      </c>
      <c r="N14" s="82">
        <v>1.6299999999999999E-2</v>
      </c>
      <c r="O14" s="82">
        <v>4.6600000000000003E-2</v>
      </c>
      <c r="P14" s="82">
        <v>7.7600000000000002E-2</v>
      </c>
      <c r="Q14" s="81">
        <v>7.3300000000000004E-2</v>
      </c>
      <c r="R14" s="81">
        <v>1.9E-2</v>
      </c>
      <c r="S14" s="81">
        <v>5.4699999999999999E-2</v>
      </c>
      <c r="T14" s="111">
        <v>4.1999999999999997E-3</v>
      </c>
      <c r="U14" s="111">
        <v>1.18E-2</v>
      </c>
      <c r="V14" s="82">
        <v>1.77E-2</v>
      </c>
      <c r="W14" s="82">
        <v>5.33E-2</v>
      </c>
      <c r="X14" s="81">
        <v>0.02</v>
      </c>
      <c r="Y14" s="81">
        <v>0.05</v>
      </c>
      <c r="Z14" s="82">
        <v>1.6899999999999998E-2</v>
      </c>
      <c r="AA14" s="82">
        <v>4.8300000000000003E-2</v>
      </c>
      <c r="AB14" s="82">
        <v>6.2600000000000003E-2</v>
      </c>
      <c r="AC14" s="82">
        <v>6.3399999999999998E-2</v>
      </c>
      <c r="AD14" s="118">
        <v>6.9500000000000006E-2</v>
      </c>
      <c r="AE14" s="118">
        <v>6.9699999999999998E-2</v>
      </c>
      <c r="AF14" s="82">
        <v>1.6E-2</v>
      </c>
      <c r="AG14" s="82">
        <v>4.8000000000000001E-2</v>
      </c>
      <c r="AH14" s="81">
        <v>1.6199999999999999E-2</v>
      </c>
      <c r="AI14" s="81">
        <v>4.6800000000000001E-2</v>
      </c>
      <c r="AJ14" s="112">
        <v>2.24E-2</v>
      </c>
      <c r="AK14" s="112">
        <v>6.7500000000000004E-2</v>
      </c>
      <c r="AL14" s="82">
        <v>0.02</v>
      </c>
      <c r="AM14" s="82">
        <v>0.05</v>
      </c>
      <c r="AN14" s="114">
        <v>0.02</v>
      </c>
      <c r="AO14" s="114">
        <v>0.04</v>
      </c>
      <c r="AP14" s="111">
        <v>1.7000000000000001E-2</v>
      </c>
      <c r="AQ14" s="111">
        <v>4.5999999999999999E-2</v>
      </c>
      <c r="AR14" s="110">
        <v>0.02</v>
      </c>
      <c r="AS14" s="110">
        <v>0.05</v>
      </c>
      <c r="AT14" s="111">
        <v>1.7899999999999999E-2</v>
      </c>
      <c r="AU14" s="111">
        <v>5.7000000000000002E-2</v>
      </c>
      <c r="AV14" s="82">
        <v>1.7100000000000001E-2</v>
      </c>
      <c r="AW14" s="82">
        <v>5.5199999999999999E-2</v>
      </c>
      <c r="AX14" s="82">
        <v>1.6400000000000001E-2</v>
      </c>
      <c r="AY14" s="82">
        <v>4.8399999999999999E-2</v>
      </c>
      <c r="AZ14" s="82">
        <v>1.7399999999999999E-2</v>
      </c>
      <c r="BA14" s="82">
        <v>5.21E-2</v>
      </c>
      <c r="BB14" s="81">
        <v>0.02</v>
      </c>
      <c r="BC14" s="81">
        <v>0.06</v>
      </c>
      <c r="BD14" s="83"/>
      <c r="BE14" s="83"/>
      <c r="BF14" s="73"/>
      <c r="BG14" s="83">
        <v>6.28</v>
      </c>
      <c r="BH14" s="81">
        <v>0.104</v>
      </c>
      <c r="BI14" s="82">
        <v>9.7900000000000001E-2</v>
      </c>
      <c r="BJ14" s="82">
        <v>1.67E-2</v>
      </c>
      <c r="BK14" s="82">
        <v>4.9000000000000002E-2</v>
      </c>
    </row>
    <row r="15" spans="1:63" ht="15" customHeight="1" x14ac:dyDescent="0.25">
      <c r="A15" s="109" t="s">
        <v>132</v>
      </c>
      <c r="B15" s="73">
        <v>3.17</v>
      </c>
      <c r="C15" s="83">
        <v>1.04</v>
      </c>
      <c r="D15" s="115">
        <v>2.37</v>
      </c>
      <c r="E15" s="115">
        <v>0.75</v>
      </c>
      <c r="F15" s="83">
        <v>10.34</v>
      </c>
      <c r="G15" s="83">
        <v>2.12</v>
      </c>
      <c r="H15" s="73">
        <v>7.86</v>
      </c>
      <c r="I15" s="73">
        <v>2.72</v>
      </c>
      <c r="J15" s="83">
        <v>2.35</v>
      </c>
      <c r="K15" s="83">
        <v>0.81</v>
      </c>
      <c r="L15" s="73">
        <v>8.42</v>
      </c>
      <c r="M15" s="73">
        <v>3.23</v>
      </c>
      <c r="N15" s="83">
        <v>1.94</v>
      </c>
      <c r="O15" s="83">
        <v>1.94</v>
      </c>
      <c r="P15" s="83">
        <v>9.59</v>
      </c>
      <c r="Q15" s="73">
        <v>9.59</v>
      </c>
      <c r="R15" s="83">
        <v>4.68</v>
      </c>
      <c r="S15" s="115">
        <v>1.69</v>
      </c>
      <c r="T15" s="83">
        <v>6.63</v>
      </c>
      <c r="U15" s="83">
        <v>2.23</v>
      </c>
      <c r="V15" s="83">
        <v>6.04</v>
      </c>
      <c r="W15" s="83">
        <v>2.06</v>
      </c>
      <c r="X15" s="73">
        <v>8.6</v>
      </c>
      <c r="Y15" s="73">
        <v>3.1</v>
      </c>
      <c r="Z15" s="82"/>
      <c r="AA15" s="83">
        <v>2.2599999999999998</v>
      </c>
      <c r="AB15" s="73">
        <v>5.45</v>
      </c>
      <c r="AC15" s="73">
        <v>1.92</v>
      </c>
      <c r="AD15" s="73">
        <v>4.99</v>
      </c>
      <c r="AE15" s="73">
        <v>1.92</v>
      </c>
      <c r="AF15" s="83">
        <v>6.01</v>
      </c>
      <c r="AG15" s="83">
        <v>2.37</v>
      </c>
      <c r="AH15" s="114">
        <v>2.16</v>
      </c>
      <c r="AI15" s="114">
        <v>0.79</v>
      </c>
      <c r="AJ15" s="116">
        <v>8.9</v>
      </c>
      <c r="AK15" s="116">
        <v>2.79</v>
      </c>
      <c r="AL15" s="83">
        <v>28.54</v>
      </c>
      <c r="AM15" s="83">
        <v>8.3000000000000007</v>
      </c>
      <c r="AN15" s="120">
        <v>2.2799999999999998</v>
      </c>
      <c r="AO15" s="120">
        <v>0.84</v>
      </c>
      <c r="AP15" s="83">
        <v>8.35</v>
      </c>
      <c r="AQ15" s="83">
        <v>2.2400000000000002</v>
      </c>
      <c r="AR15" s="115">
        <v>8.23</v>
      </c>
      <c r="AS15" s="115">
        <v>2.75</v>
      </c>
      <c r="AT15" s="83">
        <v>3.15</v>
      </c>
      <c r="AU15" s="83">
        <v>3.15</v>
      </c>
      <c r="AV15" s="73">
        <v>7.07</v>
      </c>
      <c r="AW15" s="73">
        <v>2.2000000000000002</v>
      </c>
      <c r="AX15" s="82">
        <v>15.8</v>
      </c>
      <c r="AY15" s="82">
        <v>5.9688999999999997</v>
      </c>
      <c r="AZ15" s="82">
        <v>2.3654999999999999</v>
      </c>
      <c r="BA15" s="82">
        <v>0.83620000000000005</v>
      </c>
      <c r="BB15" s="73">
        <v>7.21</v>
      </c>
      <c r="BC15" s="73">
        <v>2.4300000000000002</v>
      </c>
      <c r="BD15" s="73">
        <v>6.28</v>
      </c>
      <c r="BE15" s="73">
        <v>2.0699999999999998</v>
      </c>
      <c r="BF15" s="83">
        <v>0.02</v>
      </c>
      <c r="BG15" s="73">
        <v>2.4300000000000002</v>
      </c>
      <c r="BH15" s="73">
        <v>2.92</v>
      </c>
      <c r="BI15" s="73">
        <v>2.92</v>
      </c>
      <c r="BJ15" s="83">
        <v>6.69</v>
      </c>
      <c r="BK15" s="83">
        <v>1.57</v>
      </c>
    </row>
    <row r="16" spans="1:63" x14ac:dyDescent="0.25">
      <c r="A16" s="109" t="s">
        <v>133</v>
      </c>
      <c r="B16" s="73">
        <v>-0.65</v>
      </c>
      <c r="C16" s="83">
        <v>-0.76</v>
      </c>
      <c r="D16" s="115">
        <v>-0.27</v>
      </c>
      <c r="E16" s="115">
        <v>0.25</v>
      </c>
      <c r="F16" s="83">
        <v>-0.04</v>
      </c>
      <c r="G16" s="83">
        <v>0</v>
      </c>
      <c r="H16" s="73">
        <v>-0.02</v>
      </c>
      <c r="I16" s="73">
        <v>0.02</v>
      </c>
      <c r="J16" s="83">
        <v>0</v>
      </c>
      <c r="K16" s="83">
        <v>0</v>
      </c>
      <c r="L16" s="83">
        <v>-0.16</v>
      </c>
      <c r="M16" s="83">
        <v>-0.16</v>
      </c>
      <c r="N16" s="115">
        <v>-0.12</v>
      </c>
      <c r="O16" s="83">
        <v>-0.13</v>
      </c>
      <c r="P16" s="110">
        <v>3.5224000000000002</v>
      </c>
      <c r="Q16" s="110">
        <v>2.3407</v>
      </c>
      <c r="R16" s="83">
        <v>-0.45</v>
      </c>
      <c r="S16" s="115">
        <v>-0.55000000000000004</v>
      </c>
      <c r="T16" s="115">
        <v>-0.09</v>
      </c>
      <c r="U16" s="115">
        <v>-0.08</v>
      </c>
      <c r="V16" s="83">
        <v>-0.08</v>
      </c>
      <c r="W16" s="83">
        <v>-7.0000000000000007E-2</v>
      </c>
      <c r="X16" s="73">
        <v>-0.08</v>
      </c>
      <c r="Y16" s="73">
        <v>-0.06</v>
      </c>
      <c r="Z16" s="82">
        <v>-0.1265</v>
      </c>
      <c r="AA16" s="82">
        <v>-0.12620000000000001</v>
      </c>
      <c r="AB16" s="83">
        <v>-0.28000000000000003</v>
      </c>
      <c r="AC16" s="83">
        <v>-0.26</v>
      </c>
      <c r="AD16" s="73">
        <v>-0.22</v>
      </c>
      <c r="AE16" s="73">
        <v>-0.21</v>
      </c>
      <c r="AF16" s="83">
        <v>-0.39</v>
      </c>
      <c r="AG16" s="83">
        <v>-0.41</v>
      </c>
      <c r="AH16" s="120">
        <v>-0.35</v>
      </c>
      <c r="AI16" s="120">
        <v>-0.26</v>
      </c>
      <c r="AJ16" s="116">
        <v>-0.42</v>
      </c>
      <c r="AK16" s="116">
        <v>-0.43</v>
      </c>
      <c r="AL16" s="73">
        <v>-0.06</v>
      </c>
      <c r="AM16" s="73">
        <v>-0.12</v>
      </c>
      <c r="AN16" s="120">
        <v>-0.11</v>
      </c>
      <c r="AO16" s="120">
        <v>-0.08</v>
      </c>
      <c r="AP16" s="83">
        <v>0.35</v>
      </c>
      <c r="AQ16" s="83">
        <v>-0.45</v>
      </c>
      <c r="AR16" s="115">
        <v>-0.14000000000000001</v>
      </c>
      <c r="AS16" s="115">
        <v>-0.11</v>
      </c>
      <c r="AT16" s="83">
        <v>-0.19</v>
      </c>
      <c r="AU16" s="83">
        <v>-0.19</v>
      </c>
      <c r="AV16" s="73">
        <v>-0.14000000000000001</v>
      </c>
      <c r="AW16" s="73">
        <v>-0.12</v>
      </c>
      <c r="AX16" s="82">
        <v>-0.1431</v>
      </c>
      <c r="AY16" s="82">
        <v>-0.16089999999999999</v>
      </c>
      <c r="AZ16" s="82">
        <v>4.3900000000000002E-2</v>
      </c>
      <c r="BA16" s="82">
        <v>3.2300000000000002E-2</v>
      </c>
      <c r="BB16" s="73">
        <v>-0.11</v>
      </c>
      <c r="BC16" s="73">
        <v>-0.11</v>
      </c>
      <c r="BD16" s="73">
        <v>-14</v>
      </c>
      <c r="BE16" s="73">
        <v>-0.17</v>
      </c>
      <c r="BF16" s="83">
        <v>-0.43</v>
      </c>
      <c r="BG16" s="73">
        <v>-0.62</v>
      </c>
      <c r="BH16" s="82">
        <v>-0.35360000000000003</v>
      </c>
      <c r="BI16" s="82">
        <v>-0.35360000000000003</v>
      </c>
      <c r="BJ16" s="83"/>
      <c r="BK16" s="83"/>
    </row>
    <row r="17" spans="1:63" x14ac:dyDescent="0.25">
      <c r="A17" s="109" t="s">
        <v>134</v>
      </c>
      <c r="B17" s="82">
        <v>-0.57179999999999997</v>
      </c>
      <c r="C17" s="82">
        <v>-0.68259999999999998</v>
      </c>
      <c r="D17" s="110">
        <v>-0.2</v>
      </c>
      <c r="E17" s="81">
        <v>-0.19</v>
      </c>
      <c r="F17" s="82">
        <v>8.9399999999999993E-2</v>
      </c>
      <c r="G17" s="82">
        <v>9.98E-2</v>
      </c>
      <c r="H17" s="82">
        <v>0.1227</v>
      </c>
      <c r="I17" s="82">
        <v>0.16189999999999999</v>
      </c>
      <c r="J17" s="83">
        <v>0.05</v>
      </c>
      <c r="K17" s="83">
        <v>0.05</v>
      </c>
      <c r="L17" s="82">
        <v>0.14219999999999999</v>
      </c>
      <c r="M17" s="82">
        <v>0.13020000000000001</v>
      </c>
      <c r="N17" s="82">
        <v>4.7999999999999996E-3</v>
      </c>
      <c r="O17" s="82">
        <v>-1.5100000000000001E-2</v>
      </c>
      <c r="P17" s="81">
        <v>4.1474000000000002</v>
      </c>
      <c r="Q17" s="81">
        <v>2.9986999999999999</v>
      </c>
      <c r="R17" s="81">
        <v>-0.36</v>
      </c>
      <c r="S17" s="81">
        <v>-0.46</v>
      </c>
      <c r="T17" s="117">
        <v>0.03</v>
      </c>
      <c r="U17" s="117">
        <v>0.04</v>
      </c>
      <c r="V17" s="82">
        <v>5.1999999999999998E-2</v>
      </c>
      <c r="W17" s="82">
        <v>7.3200000000000001E-2</v>
      </c>
      <c r="X17" s="81">
        <v>7.0000000000000007E-2</v>
      </c>
      <c r="Y17" s="81">
        <v>0.1</v>
      </c>
      <c r="Z17" s="82">
        <v>-9.1999999999999998E-3</v>
      </c>
      <c r="AA17" s="82">
        <v>-1.2999999999999999E-2</v>
      </c>
      <c r="AB17" s="110">
        <v>-0.18</v>
      </c>
      <c r="AC17" s="81">
        <v>-0.15</v>
      </c>
      <c r="AD17" s="118">
        <v>-0.09</v>
      </c>
      <c r="AE17" s="118">
        <v>-7.0000000000000007E-2</v>
      </c>
      <c r="AF17" s="82">
        <v>1.04E-2</v>
      </c>
      <c r="AG17" s="82">
        <v>-4.5999999999999999E-2</v>
      </c>
      <c r="AH17" s="114">
        <v>-0.31</v>
      </c>
      <c r="AI17" s="81">
        <v>-0.22</v>
      </c>
      <c r="AJ17" s="113">
        <v>-0.18909999999999999</v>
      </c>
      <c r="AK17" s="113">
        <v>-0.22359999999999999</v>
      </c>
      <c r="AL17" s="82">
        <v>0.25</v>
      </c>
      <c r="AM17" s="82">
        <v>0.11</v>
      </c>
      <c r="AN17" s="112">
        <v>0.13</v>
      </c>
      <c r="AO17" s="112">
        <v>0.11</v>
      </c>
      <c r="AP17" s="111">
        <v>6.4000000000000001E-2</v>
      </c>
      <c r="AQ17" s="111">
        <v>-0.11</v>
      </c>
      <c r="AR17" s="110">
        <v>0.01</v>
      </c>
      <c r="AS17" s="110">
        <v>0.1172</v>
      </c>
      <c r="AT17" s="111">
        <v>-8.9999999999999993E-3</v>
      </c>
      <c r="AU17" s="111">
        <v>6.0000000000000001E-3</v>
      </c>
      <c r="AV17" s="82">
        <v>-1.2E-2</v>
      </c>
      <c r="AW17" s="82">
        <v>8.5000000000000006E-3</v>
      </c>
      <c r="AX17" s="82">
        <v>0.17249999999999999</v>
      </c>
      <c r="AY17" s="82">
        <v>0.187</v>
      </c>
      <c r="AZ17" s="82">
        <v>8.4199999999999997E-2</v>
      </c>
      <c r="BA17" s="82">
        <v>7.5499999999999998E-2</v>
      </c>
      <c r="BB17" s="81">
        <v>0.04</v>
      </c>
      <c r="BC17" s="81">
        <v>7.0000000000000007E-2</v>
      </c>
      <c r="BD17" s="73">
        <v>9.9700000000000006</v>
      </c>
      <c r="BE17" s="73">
        <v>9.69</v>
      </c>
      <c r="BF17" s="73">
        <v>-14.49</v>
      </c>
      <c r="BG17" s="73">
        <v>-39.340000000000003</v>
      </c>
      <c r="BH17" s="82">
        <v>-0.1454</v>
      </c>
      <c r="BI17" s="82">
        <v>-0.1454</v>
      </c>
      <c r="BJ17" s="82">
        <v>7.8700000000000006E-2</v>
      </c>
      <c r="BK17" s="82">
        <v>8.72E-2</v>
      </c>
    </row>
    <row r="18" spans="1:63" x14ac:dyDescent="0.25">
      <c r="A18" s="109" t="s">
        <v>135</v>
      </c>
      <c r="B18" s="73">
        <v>0.26</v>
      </c>
      <c r="C18" s="83">
        <v>0.26</v>
      </c>
      <c r="D18" s="115">
        <v>0.2</v>
      </c>
      <c r="E18" s="115">
        <v>0.2</v>
      </c>
      <c r="F18" s="83">
        <v>0.32</v>
      </c>
      <c r="G18" s="83">
        <v>0.32</v>
      </c>
      <c r="H18" s="73">
        <v>0.17</v>
      </c>
      <c r="I18" s="73">
        <v>0.17</v>
      </c>
      <c r="J18" s="83">
        <v>0.18</v>
      </c>
      <c r="K18" s="83">
        <v>0.18</v>
      </c>
      <c r="L18" s="83">
        <v>0.08</v>
      </c>
      <c r="M18" s="73">
        <v>0.08</v>
      </c>
      <c r="N18" s="111">
        <v>0.1807</v>
      </c>
      <c r="O18" s="111">
        <v>0.1807</v>
      </c>
      <c r="P18" s="73">
        <v>-0.06</v>
      </c>
      <c r="Q18" s="73">
        <v>0.38</v>
      </c>
      <c r="R18" s="83">
        <v>0.4</v>
      </c>
      <c r="S18" s="83">
        <v>0.4</v>
      </c>
      <c r="T18" s="82">
        <v>8.0000000000000004E-4</v>
      </c>
      <c r="U18" s="82">
        <v>8.0000000000000004E-4</v>
      </c>
      <c r="V18" s="83">
        <v>0.15</v>
      </c>
      <c r="W18" s="83">
        <v>0.15</v>
      </c>
      <c r="X18" s="73">
        <v>0.1</v>
      </c>
      <c r="Y18" s="73">
        <v>0.1</v>
      </c>
      <c r="Z18" s="82"/>
      <c r="AA18" s="83">
        <v>0.22</v>
      </c>
      <c r="AB18" s="83">
        <v>0.13</v>
      </c>
      <c r="AC18" s="83">
        <v>0.13</v>
      </c>
      <c r="AD18" s="73">
        <v>0.1</v>
      </c>
      <c r="AE18" s="73">
        <v>0.1</v>
      </c>
      <c r="AF18" s="83">
        <v>0.08</v>
      </c>
      <c r="AG18" s="83">
        <v>0.08</v>
      </c>
      <c r="AH18" s="114">
        <v>0.28999999999999998</v>
      </c>
      <c r="AI18" s="114">
        <v>0.28999999999999998</v>
      </c>
      <c r="AJ18" s="116">
        <v>0.2</v>
      </c>
      <c r="AK18" s="116">
        <v>0.2</v>
      </c>
      <c r="AL18" s="83">
        <v>0.82</v>
      </c>
      <c r="AM18" s="73">
        <v>0.82</v>
      </c>
      <c r="AN18" s="120">
        <v>0.22</v>
      </c>
      <c r="AO18" s="120">
        <v>0.22</v>
      </c>
      <c r="AP18" s="83">
        <v>0.14000000000000001</v>
      </c>
      <c r="AQ18" s="83">
        <v>0.14000000000000001</v>
      </c>
      <c r="AR18" s="115">
        <v>0.16</v>
      </c>
      <c r="AS18" s="115">
        <v>0.16</v>
      </c>
      <c r="AT18" s="83">
        <v>0.27</v>
      </c>
      <c r="AU18" s="83">
        <v>0.27</v>
      </c>
      <c r="AV18" s="73">
        <v>0.11</v>
      </c>
      <c r="AW18" s="73">
        <v>0.11</v>
      </c>
      <c r="AX18" s="82">
        <v>2.9700000000000001E-2</v>
      </c>
      <c r="AY18" s="82">
        <v>2.9700000000000001E-2</v>
      </c>
      <c r="AZ18" s="82">
        <v>0.27400000000000002</v>
      </c>
      <c r="BA18" s="82">
        <v>0.27400000000000002</v>
      </c>
      <c r="BB18" s="73">
        <v>0.13</v>
      </c>
      <c r="BC18" s="73">
        <v>0.13</v>
      </c>
      <c r="BD18" s="73">
        <v>0.4</v>
      </c>
      <c r="BE18" s="73">
        <v>0.4</v>
      </c>
      <c r="BF18" s="73">
        <v>0.14000000000000001</v>
      </c>
      <c r="BG18" s="73">
        <v>0.14000000000000001</v>
      </c>
      <c r="BH18" s="73">
        <v>0.1</v>
      </c>
      <c r="BI18" s="73">
        <v>0.1</v>
      </c>
      <c r="BJ18" s="115">
        <v>0.34</v>
      </c>
      <c r="BK18" s="115">
        <v>0.34</v>
      </c>
    </row>
    <row r="19" spans="1:63" x14ac:dyDescent="0.25">
      <c r="A19" s="109" t="s">
        <v>136</v>
      </c>
      <c r="B19" s="82">
        <v>-0.4173</v>
      </c>
      <c r="C19" s="82">
        <v>-0.44080000000000003</v>
      </c>
      <c r="D19" s="110">
        <v>-0.14000000000000001</v>
      </c>
      <c r="E19" s="81">
        <v>-0.14000000000000001</v>
      </c>
      <c r="F19" s="82">
        <v>0.12139999999999999</v>
      </c>
      <c r="G19" s="82">
        <v>0.10150000000000001</v>
      </c>
      <c r="H19" s="82">
        <v>0.1263</v>
      </c>
      <c r="I19" s="82">
        <v>0.16700000000000001</v>
      </c>
      <c r="J19" s="83">
        <v>0.05</v>
      </c>
      <c r="K19" s="83">
        <v>0.04</v>
      </c>
      <c r="L19" s="82">
        <v>3.44E-2</v>
      </c>
      <c r="M19" s="82">
        <v>3.5400000000000001E-2</v>
      </c>
      <c r="N19" s="82">
        <v>1.6799999999999999E-2</v>
      </c>
      <c r="O19" s="82">
        <v>2.3999999999999998E-3</v>
      </c>
      <c r="P19" s="81">
        <v>3.6162000000000001</v>
      </c>
      <c r="Q19" s="81">
        <v>2.6758000000000002</v>
      </c>
      <c r="R19" s="81">
        <v>-0.3</v>
      </c>
      <c r="S19" s="81">
        <v>-0.42</v>
      </c>
      <c r="T19" s="117">
        <v>0.05</v>
      </c>
      <c r="U19" s="117">
        <v>0.05</v>
      </c>
      <c r="V19" s="82">
        <v>5.8500000000000003E-2</v>
      </c>
      <c r="W19" s="82">
        <v>7.0599999999999996E-2</v>
      </c>
      <c r="X19" s="81">
        <v>0.09</v>
      </c>
      <c r="Y19" s="81">
        <v>0.12</v>
      </c>
      <c r="Z19" s="82">
        <v>2.3400000000000001E-2</v>
      </c>
      <c r="AA19" s="82">
        <v>1.9099999999999999E-2</v>
      </c>
      <c r="AB19" s="81">
        <v>-0.14000000000000001</v>
      </c>
      <c r="AC19" s="81">
        <v>-0.11</v>
      </c>
      <c r="AD19" s="118">
        <v>-0.06</v>
      </c>
      <c r="AE19" s="118">
        <v>-0.04</v>
      </c>
      <c r="AF19" s="82">
        <v>-0.153</v>
      </c>
      <c r="AG19" s="82">
        <v>-0.16600000000000001</v>
      </c>
      <c r="AH19" s="121">
        <v>-0.25</v>
      </c>
      <c r="AI19" s="81">
        <v>-0.18</v>
      </c>
      <c r="AJ19" s="113">
        <v>-0.2079</v>
      </c>
      <c r="AK19" s="113">
        <v>-0.25140000000000001</v>
      </c>
      <c r="AL19" s="82">
        <v>0.72</v>
      </c>
      <c r="AM19" s="82">
        <v>0.46</v>
      </c>
      <c r="AN19" s="112">
        <v>-4.1300000000000003E-2</v>
      </c>
      <c r="AO19" s="112">
        <v>-1.2500000000000001E-2</v>
      </c>
      <c r="AP19" s="111">
        <v>-0.27500000000000002</v>
      </c>
      <c r="AQ19" s="111">
        <v>-0.29499999999999998</v>
      </c>
      <c r="AR19" s="110">
        <v>0.04</v>
      </c>
      <c r="AS19" s="110">
        <v>0.04</v>
      </c>
      <c r="AT19" s="111">
        <v>1.6E-2</v>
      </c>
      <c r="AU19" s="111">
        <v>0.03</v>
      </c>
      <c r="AV19" s="82">
        <v>1.1299999999999999E-2</v>
      </c>
      <c r="AW19" s="82">
        <v>3.4200000000000001E-2</v>
      </c>
      <c r="AX19" s="82">
        <v>0.13930000000000001</v>
      </c>
      <c r="AY19" s="82">
        <v>0.153</v>
      </c>
      <c r="AZ19" s="82">
        <v>7.1499999999999994E-2</v>
      </c>
      <c r="BA19" s="82">
        <v>6.2100000000000002E-2</v>
      </c>
      <c r="BB19" s="81">
        <v>0.05</v>
      </c>
      <c r="BC19" s="81">
        <v>0.08</v>
      </c>
      <c r="BD19" s="73">
        <v>10.08</v>
      </c>
      <c r="BE19" s="83">
        <v>3.99</v>
      </c>
      <c r="BF19" s="73">
        <v>-22.8</v>
      </c>
      <c r="BG19" s="73">
        <v>-41.18</v>
      </c>
      <c r="BH19" s="82">
        <v>-0.1532</v>
      </c>
      <c r="BI19" s="82">
        <v>-0.1532</v>
      </c>
      <c r="BJ19" s="82">
        <v>0.1152</v>
      </c>
      <c r="BK19" s="82">
        <v>7.5399999999999995E-2</v>
      </c>
    </row>
    <row r="20" spans="1:63" x14ac:dyDescent="0.25">
      <c r="A20" s="109" t="s">
        <v>137</v>
      </c>
      <c r="B20" s="82">
        <v>0.1132</v>
      </c>
      <c r="C20" s="82">
        <v>0.36470000000000002</v>
      </c>
      <c r="D20" s="110">
        <v>-0.05</v>
      </c>
      <c r="E20" s="81">
        <v>-0.17</v>
      </c>
      <c r="F20" s="82">
        <v>2.18E-2</v>
      </c>
      <c r="G20" s="82">
        <v>8.8999999999999996E-2</v>
      </c>
      <c r="H20" s="82">
        <v>0.03</v>
      </c>
      <c r="I20" s="82">
        <v>0.11070000000000001</v>
      </c>
      <c r="J20" s="83">
        <v>0.03</v>
      </c>
      <c r="K20" s="83">
        <v>0.09</v>
      </c>
      <c r="L20" s="82">
        <v>2.0799999999999999E-2</v>
      </c>
      <c r="M20" s="82">
        <v>5.6000000000000001E-2</v>
      </c>
      <c r="N20" s="82">
        <v>1.15E-2</v>
      </c>
      <c r="O20" s="82">
        <v>4.4000000000000003E-3</v>
      </c>
      <c r="P20" s="81">
        <v>0.1933</v>
      </c>
      <c r="Q20" s="81">
        <v>0.1933</v>
      </c>
      <c r="R20" s="81">
        <v>-0.16</v>
      </c>
      <c r="S20" s="81">
        <v>-0.6</v>
      </c>
      <c r="T20" s="117">
        <v>0.02</v>
      </c>
      <c r="U20" s="117">
        <v>7.0000000000000007E-2</v>
      </c>
      <c r="V20" s="82">
        <v>3.4500000000000003E-2</v>
      </c>
      <c r="W20" s="82">
        <v>0.12230000000000001</v>
      </c>
      <c r="X20" s="81">
        <v>0.04</v>
      </c>
      <c r="Y20" s="81">
        <v>0.13</v>
      </c>
      <c r="Z20" s="82"/>
      <c r="AA20" s="82">
        <v>2.53E-2</v>
      </c>
      <c r="AB20" s="81">
        <v>-7.0000000000000007E-2</v>
      </c>
      <c r="AC20" s="81">
        <v>-0.16</v>
      </c>
      <c r="AD20" s="118">
        <v>-0.04</v>
      </c>
      <c r="AE20" s="118">
        <v>-7.0000000000000007E-2</v>
      </c>
      <c r="AF20" s="82">
        <v>-0.13900000000000001</v>
      </c>
      <c r="AG20" s="82">
        <v>-0.38200000000000001</v>
      </c>
      <c r="AH20" s="121">
        <v>-0.3</v>
      </c>
      <c r="AI20" s="81">
        <v>-0.57999999999999996</v>
      </c>
      <c r="AJ20" s="113">
        <v>-1.3036000000000001</v>
      </c>
      <c r="AK20" s="113">
        <v>-5.0204000000000004</v>
      </c>
      <c r="AL20" s="81">
        <v>0.04</v>
      </c>
      <c r="AM20" s="81">
        <v>0.08</v>
      </c>
      <c r="AN20" s="112">
        <v>-4.07E-2</v>
      </c>
      <c r="AO20" s="112">
        <v>-3.3500000000000002E-2</v>
      </c>
      <c r="AP20" s="111">
        <v>-9.9000000000000005E-2</v>
      </c>
      <c r="AQ20" s="111">
        <v>-0.39800000000000002</v>
      </c>
      <c r="AR20" s="110">
        <v>0.02</v>
      </c>
      <c r="AS20" s="110">
        <v>0.08</v>
      </c>
      <c r="AT20" s="111">
        <v>8.0000000000000002E-3</v>
      </c>
      <c r="AU20" s="111">
        <v>0.04</v>
      </c>
      <c r="AV20" s="82">
        <v>4.4000000000000003E-3</v>
      </c>
      <c r="AW20" s="82">
        <v>4.2900000000000001E-2</v>
      </c>
      <c r="AX20" s="82">
        <v>9.6299999999999997E-2</v>
      </c>
      <c r="AY20" s="82">
        <v>9.6299999999999997E-2</v>
      </c>
      <c r="AZ20" s="82">
        <v>3.95E-2</v>
      </c>
      <c r="BA20" s="82">
        <v>9.7000000000000003E-2</v>
      </c>
      <c r="BB20" s="81">
        <v>0.03</v>
      </c>
      <c r="BC20" s="81">
        <v>0.12</v>
      </c>
      <c r="BD20" s="73">
        <v>3.81</v>
      </c>
      <c r="BE20" s="73">
        <v>4.58</v>
      </c>
      <c r="BF20" s="73">
        <v>-111.6</v>
      </c>
      <c r="BG20" s="73">
        <v>-121.01</v>
      </c>
      <c r="BH20" s="82">
        <v>-4.1597999999999997</v>
      </c>
      <c r="BI20" s="82">
        <v>-4.1597999999999997</v>
      </c>
      <c r="BJ20" s="82">
        <v>3.8699999999999998E-2</v>
      </c>
      <c r="BK20" s="82">
        <v>0.108</v>
      </c>
    </row>
    <row r="21" spans="1:63" ht="30" x14ac:dyDescent="0.25">
      <c r="A21" s="109" t="s">
        <v>138</v>
      </c>
      <c r="B21" s="73">
        <v>3.73</v>
      </c>
      <c r="C21" s="73">
        <v>3.73</v>
      </c>
      <c r="D21" s="73">
        <v>3.03</v>
      </c>
      <c r="E21" s="73">
        <v>3.03</v>
      </c>
      <c r="F21" s="83">
        <v>2.48</v>
      </c>
      <c r="G21" s="83">
        <v>2.48</v>
      </c>
      <c r="H21" s="73">
        <v>3.73</v>
      </c>
      <c r="I21" s="73">
        <v>3.73</v>
      </c>
      <c r="J21" s="83">
        <v>1.9</v>
      </c>
      <c r="K21" s="83">
        <v>1.9</v>
      </c>
      <c r="L21" s="73">
        <v>2.06</v>
      </c>
      <c r="M21" s="73">
        <v>2.06</v>
      </c>
      <c r="N21" s="83">
        <v>1.9</v>
      </c>
      <c r="O21" s="83">
        <v>1.9</v>
      </c>
      <c r="P21" s="73">
        <v>43.89</v>
      </c>
      <c r="Q21" s="73">
        <v>43.89</v>
      </c>
      <c r="R21" s="73">
        <v>1.73</v>
      </c>
      <c r="S21" s="83">
        <v>1.73</v>
      </c>
      <c r="T21" s="73">
        <v>1.93</v>
      </c>
      <c r="U21" s="73">
        <v>1.93</v>
      </c>
      <c r="V21" s="83">
        <v>1.74</v>
      </c>
      <c r="W21" s="83">
        <v>1.74</v>
      </c>
      <c r="X21" s="73">
        <v>2.4500000000000002</v>
      </c>
      <c r="Y21" s="73">
        <v>2.4500000000000002</v>
      </c>
      <c r="Z21" s="82"/>
      <c r="AA21" s="83">
        <v>1.79</v>
      </c>
      <c r="AB21" s="73">
        <v>2.2999999999999998</v>
      </c>
      <c r="AC21" s="73">
        <v>2.2999999999999998</v>
      </c>
      <c r="AD21" s="73">
        <v>2.2000000000000002</v>
      </c>
      <c r="AE21" s="73">
        <v>2.2000000000000002</v>
      </c>
      <c r="AF21" s="83">
        <v>1.7</v>
      </c>
      <c r="AG21" s="83">
        <v>1.7</v>
      </c>
      <c r="AH21" s="114">
        <v>1.56</v>
      </c>
      <c r="AI21" s="114">
        <v>1.56</v>
      </c>
      <c r="AJ21" s="116"/>
      <c r="AK21" s="116">
        <v>0.05</v>
      </c>
      <c r="AL21" s="73">
        <v>2.72</v>
      </c>
      <c r="AM21" s="73">
        <v>2.72</v>
      </c>
      <c r="AN21" s="120">
        <v>1.81</v>
      </c>
      <c r="AO21" s="120">
        <v>1.81</v>
      </c>
      <c r="AP21" s="73">
        <v>2.21</v>
      </c>
      <c r="AQ21" s="73">
        <v>2.21</v>
      </c>
      <c r="AR21" s="83">
        <v>1.59</v>
      </c>
      <c r="AS21" s="83">
        <v>1.59</v>
      </c>
      <c r="AT21" s="83">
        <v>2.14</v>
      </c>
      <c r="AU21" s="83">
        <v>2.14</v>
      </c>
      <c r="AV21" s="73">
        <v>1.85</v>
      </c>
      <c r="AW21" s="73">
        <v>1.85</v>
      </c>
      <c r="AX21" s="73">
        <v>4.63</v>
      </c>
      <c r="AY21" s="73">
        <v>4.63</v>
      </c>
      <c r="AZ21" s="73">
        <v>2.17</v>
      </c>
      <c r="BA21" s="73">
        <v>2.17</v>
      </c>
      <c r="BB21" s="73">
        <v>1.95</v>
      </c>
      <c r="BC21" s="73">
        <v>1.95</v>
      </c>
      <c r="BD21" s="73">
        <v>1.91</v>
      </c>
      <c r="BE21" s="73">
        <v>1.91</v>
      </c>
      <c r="BF21" s="73"/>
      <c r="BG21" s="73">
        <v>-0.9</v>
      </c>
      <c r="BH21" s="73">
        <v>0.12</v>
      </c>
      <c r="BI21" s="73">
        <v>0.12</v>
      </c>
      <c r="BJ21" s="73">
        <v>1.71</v>
      </c>
      <c r="BK21" s="73">
        <v>1.71</v>
      </c>
    </row>
  </sheetData>
  <mergeCells count="31">
    <mergeCell ref="BH2:BI2"/>
    <mergeCell ref="BJ2:BK2"/>
    <mergeCell ref="BD2:BE2"/>
    <mergeCell ref="AX2:AY2"/>
    <mergeCell ref="AZ2:BA2"/>
    <mergeCell ref="BB2:BC2"/>
    <mergeCell ref="AJ2:AK2"/>
    <mergeCell ref="AL2:AM2"/>
    <mergeCell ref="AN2:AO2"/>
    <mergeCell ref="AP2:AQ2"/>
    <mergeCell ref="BF2:BG2"/>
    <mergeCell ref="AR2:AS2"/>
    <mergeCell ref="AT2:AU2"/>
    <mergeCell ref="AV2:AW2"/>
    <mergeCell ref="X2:Y2"/>
    <mergeCell ref="Z2:AA2"/>
    <mergeCell ref="AB2:AC2"/>
    <mergeCell ref="AD2:AE2"/>
    <mergeCell ref="AH2:AI2"/>
    <mergeCell ref="AF2:AG2"/>
    <mergeCell ref="J2:K2"/>
    <mergeCell ref="B2:C2"/>
    <mergeCell ref="D2:E2"/>
    <mergeCell ref="F2:G2"/>
    <mergeCell ref="H2:I2"/>
    <mergeCell ref="V2:W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6" customWidth="1"/>
    <col min="2" max="16" width="16" style="6" customWidth="1"/>
    <col min="17" max="17" width="19.5703125" style="6" customWidth="1"/>
    <col min="18" max="32" width="16" style="6" customWidth="1"/>
    <col min="33" max="16384" width="9.140625" style="6"/>
  </cols>
  <sheetData>
    <row r="1" spans="1:32" ht="18.75" x14ac:dyDescent="0.3">
      <c r="A1" s="8" t="s">
        <v>309</v>
      </c>
    </row>
    <row r="2" spans="1:32" x14ac:dyDescent="0.25">
      <c r="A2" s="6" t="s">
        <v>98</v>
      </c>
    </row>
    <row r="3" spans="1:32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</row>
    <row r="4" spans="1:32" ht="15" customHeight="1" x14ac:dyDescent="0.25">
      <c r="A4" s="2" t="s">
        <v>99</v>
      </c>
      <c r="B4" s="74">
        <v>109368</v>
      </c>
      <c r="C4" s="85">
        <v>213137</v>
      </c>
      <c r="D4" s="74">
        <v>2321470</v>
      </c>
      <c r="E4" s="74">
        <v>2148719</v>
      </c>
      <c r="F4" s="74">
        <v>309975</v>
      </c>
      <c r="G4" s="74">
        <v>1276076.3</v>
      </c>
      <c r="H4" s="74">
        <v>1114303</v>
      </c>
      <c r="I4" s="74">
        <v>807341.49</v>
      </c>
      <c r="J4" s="74">
        <v>76963</v>
      </c>
      <c r="K4" s="74">
        <v>543851</v>
      </c>
      <c r="L4" s="74">
        <v>1853812</v>
      </c>
      <c r="M4" s="74">
        <v>4360615</v>
      </c>
      <c r="N4" s="74">
        <v>1218112</v>
      </c>
      <c r="O4" s="74">
        <v>123673</v>
      </c>
      <c r="P4" s="74">
        <v>291233</v>
      </c>
      <c r="Q4" s="74">
        <v>436510</v>
      </c>
      <c r="R4" s="74">
        <v>87947</v>
      </c>
      <c r="S4" s="74">
        <v>3510595</v>
      </c>
      <c r="T4" s="74">
        <v>48311</v>
      </c>
      <c r="U4" s="74">
        <v>218879</v>
      </c>
      <c r="V4" s="74">
        <v>77144</v>
      </c>
      <c r="W4" s="74">
        <v>1604009</v>
      </c>
      <c r="X4" s="74">
        <v>679176</v>
      </c>
      <c r="Y4" s="74">
        <v>1064767</v>
      </c>
      <c r="Z4" s="74">
        <v>992164</v>
      </c>
      <c r="AA4" s="74">
        <v>773999</v>
      </c>
      <c r="AB4" s="74">
        <v>1886926</v>
      </c>
      <c r="AC4" s="74">
        <v>5283045</v>
      </c>
      <c r="AD4" s="85">
        <v>3138447</v>
      </c>
      <c r="AE4" s="74">
        <v>3838599</v>
      </c>
      <c r="AF4" s="74">
        <v>383390</v>
      </c>
    </row>
    <row r="5" spans="1:32" ht="15" customHeight="1" x14ac:dyDescent="0.25">
      <c r="A5" s="2" t="s">
        <v>100</v>
      </c>
      <c r="B5" s="74"/>
      <c r="C5" s="85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85"/>
      <c r="AE5" s="74"/>
      <c r="AF5" s="74"/>
    </row>
    <row r="6" spans="1:32" ht="15" customHeight="1" x14ac:dyDescent="0.25">
      <c r="A6" s="2" t="s">
        <v>102</v>
      </c>
      <c r="B6" s="74">
        <v>83025</v>
      </c>
      <c r="C6" s="85">
        <v>114965</v>
      </c>
      <c r="D6" s="74">
        <v>1029021</v>
      </c>
      <c r="E6" s="74">
        <v>1639874</v>
      </c>
      <c r="F6" s="74">
        <v>262378</v>
      </c>
      <c r="G6" s="74">
        <v>776115.7</v>
      </c>
      <c r="H6" s="74">
        <v>812760</v>
      </c>
      <c r="I6" s="74">
        <v>649380.51</v>
      </c>
      <c r="J6" s="74">
        <v>48800</v>
      </c>
      <c r="K6" s="74">
        <v>108375</v>
      </c>
      <c r="L6" s="74">
        <v>1303676</v>
      </c>
      <c r="M6" s="74">
        <v>3566740</v>
      </c>
      <c r="N6" s="74">
        <v>818624</v>
      </c>
      <c r="O6" s="74">
        <v>108930</v>
      </c>
      <c r="P6" s="74">
        <v>244435</v>
      </c>
      <c r="Q6" s="74">
        <v>333046</v>
      </c>
      <c r="R6" s="74">
        <v>70682</v>
      </c>
      <c r="S6" s="74">
        <v>2806830</v>
      </c>
      <c r="T6" s="74">
        <v>30869</v>
      </c>
      <c r="U6" s="74">
        <v>37268</v>
      </c>
      <c r="V6" s="74">
        <v>52348</v>
      </c>
      <c r="W6" s="74">
        <v>1305499</v>
      </c>
      <c r="X6" s="74">
        <v>614205</v>
      </c>
      <c r="Y6" s="74">
        <v>1023182</v>
      </c>
      <c r="Z6" s="74">
        <v>766755</v>
      </c>
      <c r="AA6" s="74">
        <v>53268</v>
      </c>
      <c r="AB6" s="74">
        <v>1477419</v>
      </c>
      <c r="AC6" s="74">
        <v>4664838</v>
      </c>
      <c r="AD6" s="85">
        <v>1821888</v>
      </c>
      <c r="AE6" s="74">
        <v>2594797</v>
      </c>
      <c r="AF6" s="74">
        <v>277417</v>
      </c>
    </row>
    <row r="7" spans="1:32" ht="15" customHeight="1" x14ac:dyDescent="0.25">
      <c r="A7" s="2" t="s">
        <v>103</v>
      </c>
      <c r="B7" s="74"/>
      <c r="C7" s="85">
        <v>2750</v>
      </c>
      <c r="D7" s="74">
        <v>52673</v>
      </c>
      <c r="E7" s="74"/>
      <c r="F7" s="74"/>
      <c r="G7" s="74">
        <v>284806</v>
      </c>
      <c r="H7" s="74">
        <v>1725</v>
      </c>
      <c r="I7" s="74">
        <v>34806.639999999999</v>
      </c>
      <c r="J7" s="74">
        <v>891</v>
      </c>
      <c r="K7" s="74">
        <v>423334</v>
      </c>
      <c r="L7" s="74"/>
      <c r="M7" s="74">
        <v>4747</v>
      </c>
      <c r="N7" s="74">
        <v>328369</v>
      </c>
      <c r="O7" s="74"/>
      <c r="P7" s="74"/>
      <c r="Q7" s="74">
        <v>103464</v>
      </c>
      <c r="R7" s="74">
        <v>8862</v>
      </c>
      <c r="S7" s="74">
        <v>717030</v>
      </c>
      <c r="T7" s="74"/>
      <c r="U7" s="74">
        <v>140618</v>
      </c>
      <c r="V7" s="74">
        <v>20062</v>
      </c>
      <c r="W7" s="74"/>
      <c r="X7" s="74"/>
      <c r="Y7" s="74"/>
      <c r="Z7" s="74">
        <v>109708</v>
      </c>
      <c r="AA7" s="74">
        <v>696268</v>
      </c>
      <c r="AB7" s="74"/>
      <c r="AC7" s="74"/>
      <c r="AD7" s="85">
        <v>715288</v>
      </c>
      <c r="AE7" s="74">
        <v>627816</v>
      </c>
      <c r="AF7" s="74">
        <v>104963</v>
      </c>
    </row>
    <row r="8" spans="1:32" ht="30" customHeight="1" x14ac:dyDescent="0.25">
      <c r="A8" s="2" t="s">
        <v>101</v>
      </c>
      <c r="B8" s="74">
        <v>26343</v>
      </c>
      <c r="C8" s="85">
        <v>58982</v>
      </c>
      <c r="D8" s="74">
        <v>1125998</v>
      </c>
      <c r="E8" s="74">
        <v>346134</v>
      </c>
      <c r="F8" s="74">
        <v>28684</v>
      </c>
      <c r="G8" s="74">
        <v>196411.6</v>
      </c>
      <c r="H8" s="74">
        <v>218510</v>
      </c>
      <c r="I8" s="74"/>
      <c r="J8" s="74">
        <v>25054</v>
      </c>
      <c r="K8" s="74"/>
      <c r="L8" s="74">
        <v>550136</v>
      </c>
      <c r="M8" s="74">
        <v>785677</v>
      </c>
      <c r="N8" s="74">
        <v>71119</v>
      </c>
      <c r="O8" s="74">
        <v>20</v>
      </c>
      <c r="P8" s="74">
        <v>46433</v>
      </c>
      <c r="Q8" s="74"/>
      <c r="R8" s="74"/>
      <c r="S8" s="74">
        <v>31325</v>
      </c>
      <c r="T8" s="74">
        <v>10865</v>
      </c>
      <c r="U8" s="74">
        <v>36157</v>
      </c>
      <c r="V8" s="74">
        <v>198</v>
      </c>
      <c r="W8" s="74">
        <v>298509</v>
      </c>
      <c r="X8" s="74">
        <v>77297</v>
      </c>
      <c r="Y8" s="74"/>
      <c r="Z8" s="74">
        <v>30762</v>
      </c>
      <c r="AA8" s="74"/>
      <c r="AB8" s="74">
        <v>409506</v>
      </c>
      <c r="AC8" s="74">
        <v>434338</v>
      </c>
      <c r="AD8" s="85">
        <v>112396</v>
      </c>
      <c r="AE8" s="74">
        <v>603842</v>
      </c>
      <c r="AF8" s="74"/>
    </row>
    <row r="9" spans="1:32" s="20" customFormat="1" ht="15" customHeight="1" x14ac:dyDescent="0.25">
      <c r="A9" s="11" t="s">
        <v>104</v>
      </c>
      <c r="B9" s="77"/>
      <c r="C9" s="122">
        <v>36439</v>
      </c>
      <c r="D9" s="77">
        <v>113777</v>
      </c>
      <c r="E9" s="77">
        <v>162711</v>
      </c>
      <c r="F9" s="77">
        <v>18913</v>
      </c>
      <c r="G9" s="77">
        <v>18743</v>
      </c>
      <c r="H9" s="77">
        <v>81307</v>
      </c>
      <c r="I9" s="77">
        <v>123154.34</v>
      </c>
      <c r="J9" s="77">
        <v>2218</v>
      </c>
      <c r="K9" s="77">
        <v>12142</v>
      </c>
      <c r="L9" s="77"/>
      <c r="M9" s="77">
        <v>3451</v>
      </c>
      <c r="N9" s="77"/>
      <c r="O9" s="77">
        <v>14724</v>
      </c>
      <c r="P9" s="77">
        <v>365</v>
      </c>
      <c r="Q9" s="77"/>
      <c r="R9" s="77">
        <v>8403</v>
      </c>
      <c r="S9" s="77">
        <v>-44590</v>
      </c>
      <c r="T9" s="77">
        <v>6577</v>
      </c>
      <c r="U9" s="77">
        <v>4836</v>
      </c>
      <c r="V9" s="77">
        <v>4536</v>
      </c>
      <c r="W9" s="77"/>
      <c r="X9" s="77">
        <v>-12326</v>
      </c>
      <c r="Y9" s="77">
        <v>41585</v>
      </c>
      <c r="Z9" s="77">
        <v>84940</v>
      </c>
      <c r="AA9" s="77">
        <v>24463</v>
      </c>
      <c r="AB9" s="77"/>
      <c r="AC9" s="77">
        <v>183869</v>
      </c>
      <c r="AD9" s="122">
        <v>488875</v>
      </c>
      <c r="AE9" s="77">
        <v>12143</v>
      </c>
      <c r="AF9" s="77">
        <v>1010</v>
      </c>
    </row>
    <row r="10" spans="1:32" ht="15" customHeight="1" x14ac:dyDescent="0.25">
      <c r="A10" s="2" t="s">
        <v>105</v>
      </c>
      <c r="B10" s="74">
        <v>109202</v>
      </c>
      <c r="C10" s="85">
        <v>83612</v>
      </c>
      <c r="D10" s="74">
        <v>417259</v>
      </c>
      <c r="E10" s="74">
        <v>797796</v>
      </c>
      <c r="F10" s="74">
        <v>185737</v>
      </c>
      <c r="G10" s="74">
        <v>221614.1</v>
      </c>
      <c r="H10" s="74">
        <v>145621</v>
      </c>
      <c r="I10" s="74">
        <v>780636.17</v>
      </c>
      <c r="J10" s="74">
        <v>13654</v>
      </c>
      <c r="K10" s="74">
        <v>157769</v>
      </c>
      <c r="L10" s="74">
        <v>478138</v>
      </c>
      <c r="M10" s="74">
        <v>904649</v>
      </c>
      <c r="N10" s="74">
        <v>549053</v>
      </c>
      <c r="O10" s="74">
        <v>55464</v>
      </c>
      <c r="P10" s="74">
        <v>99163</v>
      </c>
      <c r="Q10" s="74">
        <v>105019</v>
      </c>
      <c r="R10" s="74">
        <v>49620</v>
      </c>
      <c r="S10" s="74">
        <v>62660</v>
      </c>
      <c r="T10" s="74">
        <v>7040</v>
      </c>
      <c r="U10" s="74">
        <v>138414</v>
      </c>
      <c r="V10" s="74">
        <v>21217</v>
      </c>
      <c r="W10" s="74">
        <v>354284</v>
      </c>
      <c r="X10" s="74">
        <v>162745</v>
      </c>
      <c r="Y10" s="74">
        <v>282431</v>
      </c>
      <c r="Z10" s="74">
        <v>151048</v>
      </c>
      <c r="AA10" s="74">
        <v>525856</v>
      </c>
      <c r="AB10" s="74">
        <v>467606</v>
      </c>
      <c r="AC10" s="74">
        <v>2076575</v>
      </c>
      <c r="AD10" s="85">
        <v>-469701</v>
      </c>
      <c r="AE10" s="74">
        <v>50953</v>
      </c>
      <c r="AF10" s="74">
        <v>126464</v>
      </c>
    </row>
    <row r="11" spans="1:32" ht="30" customHeight="1" x14ac:dyDescent="0.25">
      <c r="A11" s="2" t="s">
        <v>106</v>
      </c>
      <c r="B11" s="74">
        <v>13383</v>
      </c>
      <c r="C11" s="85"/>
      <c r="D11" s="74">
        <v>22160</v>
      </c>
      <c r="E11" s="74">
        <v>91520</v>
      </c>
      <c r="F11" s="74">
        <v>46239</v>
      </c>
      <c r="G11" s="74">
        <v>54724.6</v>
      </c>
      <c r="H11" s="74"/>
      <c r="I11" s="74">
        <v>34806.639999999999</v>
      </c>
      <c r="J11" s="74">
        <v>1024</v>
      </c>
      <c r="K11" s="74">
        <v>42049</v>
      </c>
      <c r="L11" s="74">
        <v>95326</v>
      </c>
      <c r="M11" s="74">
        <v>44953</v>
      </c>
      <c r="N11" s="74">
        <v>223383</v>
      </c>
      <c r="O11" s="74">
        <v>31384</v>
      </c>
      <c r="P11" s="74">
        <v>23275</v>
      </c>
      <c r="Q11" s="74">
        <v>38148</v>
      </c>
      <c r="R11" s="74">
        <v>21174</v>
      </c>
      <c r="S11" s="74"/>
      <c r="T11" s="74"/>
      <c r="U11" s="74">
        <v>41558</v>
      </c>
      <c r="V11" s="74">
        <v>5796</v>
      </c>
      <c r="W11" s="74">
        <v>117319</v>
      </c>
      <c r="X11" s="74">
        <v>19754</v>
      </c>
      <c r="Y11" s="74">
        <v>33076</v>
      </c>
      <c r="Z11" s="74">
        <v>29296</v>
      </c>
      <c r="AA11" s="74">
        <v>37702</v>
      </c>
      <c r="AB11" s="74">
        <v>70882</v>
      </c>
      <c r="AC11" s="74">
        <v>566824</v>
      </c>
      <c r="AD11" s="85">
        <v>423273</v>
      </c>
      <c r="AE11" s="74">
        <v>8015</v>
      </c>
      <c r="AF11" s="74">
        <v>17382</v>
      </c>
    </row>
    <row r="12" spans="1:32" s="20" customFormat="1" x14ac:dyDescent="0.25">
      <c r="A12" s="11" t="s">
        <v>107</v>
      </c>
      <c r="B12" s="77">
        <v>95819</v>
      </c>
      <c r="C12" s="122">
        <v>83612</v>
      </c>
      <c r="D12" s="77">
        <v>395098</v>
      </c>
      <c r="E12" s="77">
        <v>706276</v>
      </c>
      <c r="F12" s="77">
        <v>139498</v>
      </c>
      <c r="G12" s="77">
        <v>166889.5</v>
      </c>
      <c r="H12" s="77">
        <v>145621</v>
      </c>
      <c r="I12" s="77">
        <v>745829.53</v>
      </c>
      <c r="J12" s="77">
        <v>12630</v>
      </c>
      <c r="K12" s="77">
        <v>115720</v>
      </c>
      <c r="L12" s="77">
        <v>382813</v>
      </c>
      <c r="M12" s="77">
        <v>859696</v>
      </c>
      <c r="N12" s="77">
        <v>325670</v>
      </c>
      <c r="O12" s="77">
        <v>24080</v>
      </c>
      <c r="P12" s="77">
        <v>75888</v>
      </c>
      <c r="Q12" s="77">
        <v>66870</v>
      </c>
      <c r="R12" s="77">
        <v>28446</v>
      </c>
      <c r="S12" s="77">
        <v>62660</v>
      </c>
      <c r="T12" s="77">
        <v>7040</v>
      </c>
      <c r="U12" s="77">
        <v>96856</v>
      </c>
      <c r="V12" s="77">
        <v>15421</v>
      </c>
      <c r="W12" s="77">
        <v>236965</v>
      </c>
      <c r="X12" s="77">
        <v>142990</v>
      </c>
      <c r="Y12" s="77">
        <v>249355</v>
      </c>
      <c r="Z12" s="77">
        <v>121752</v>
      </c>
      <c r="AA12" s="77">
        <v>488154</v>
      </c>
      <c r="AB12" s="77">
        <v>396725</v>
      </c>
      <c r="AC12" s="77">
        <v>1509750</v>
      </c>
      <c r="AD12" s="122">
        <v>-892974</v>
      </c>
      <c r="AE12" s="77">
        <v>42938</v>
      </c>
      <c r="AF12" s="77">
        <v>109082</v>
      </c>
    </row>
    <row r="13" spans="1:32" s="7" customFormat="1" ht="15" customHeight="1" x14ac:dyDescent="0.25">
      <c r="A13" s="3" t="s">
        <v>108</v>
      </c>
      <c r="B13" s="3">
        <v>95819</v>
      </c>
      <c r="C13" s="3">
        <v>120051</v>
      </c>
      <c r="D13" s="3">
        <v>508875</v>
      </c>
      <c r="E13" s="3">
        <v>868987</v>
      </c>
      <c r="F13" s="3">
        <v>158411</v>
      </c>
      <c r="G13" s="3">
        <v>185632.5</v>
      </c>
      <c r="H13" s="3">
        <v>226928</v>
      </c>
      <c r="I13" s="3">
        <v>868983.87</v>
      </c>
      <c r="J13" s="3">
        <v>14848</v>
      </c>
      <c r="K13" s="3">
        <v>127862</v>
      </c>
      <c r="L13" s="3">
        <v>382813</v>
      </c>
      <c r="M13" s="3">
        <v>863147</v>
      </c>
      <c r="N13" s="3">
        <v>325670</v>
      </c>
      <c r="O13" s="3">
        <v>38804</v>
      </c>
      <c r="P13" s="3">
        <v>76253</v>
      </c>
      <c r="Q13" s="3">
        <v>66870</v>
      </c>
      <c r="R13" s="3">
        <v>36850</v>
      </c>
      <c r="S13" s="3">
        <v>18070</v>
      </c>
      <c r="T13" s="3">
        <v>13617</v>
      </c>
      <c r="U13" s="3">
        <v>101692</v>
      </c>
      <c r="V13" s="3">
        <v>19957</v>
      </c>
      <c r="W13" s="3">
        <v>236965</v>
      </c>
      <c r="X13" s="3">
        <v>130664</v>
      </c>
      <c r="Y13" s="3">
        <v>290940</v>
      </c>
      <c r="Z13" s="3">
        <v>206691</v>
      </c>
      <c r="AA13" s="3">
        <v>512617</v>
      </c>
      <c r="AB13" s="3">
        <v>396725</v>
      </c>
      <c r="AC13" s="3">
        <v>1693620</v>
      </c>
      <c r="AD13" s="3">
        <v>-404099</v>
      </c>
      <c r="AE13" s="3">
        <v>55081</v>
      </c>
      <c r="AF13" s="3">
        <v>110092</v>
      </c>
    </row>
    <row r="14" spans="1:32" s="7" customFormat="1" ht="14.25" customHeight="1" x14ac:dyDescent="0.25">
      <c r="A14" s="3" t="s">
        <v>109</v>
      </c>
      <c r="B14" s="3">
        <v>25695</v>
      </c>
      <c r="C14" s="3">
        <v>39565</v>
      </c>
      <c r="D14" s="3">
        <v>205396</v>
      </c>
      <c r="E14" s="3">
        <v>233100</v>
      </c>
      <c r="F14" s="3">
        <v>83555</v>
      </c>
      <c r="G14" s="3">
        <v>90293.9</v>
      </c>
      <c r="H14" s="3">
        <v>119746</v>
      </c>
      <c r="I14" s="3">
        <v>19799.259999999998</v>
      </c>
      <c r="J14" s="3">
        <v>8561</v>
      </c>
      <c r="K14" s="3">
        <v>66243</v>
      </c>
      <c r="L14" s="3">
        <v>220460</v>
      </c>
      <c r="M14" s="3">
        <v>351622</v>
      </c>
      <c r="N14" s="3">
        <v>182211</v>
      </c>
      <c r="O14" s="3">
        <v>16836</v>
      </c>
      <c r="P14" s="3">
        <v>34728</v>
      </c>
      <c r="Q14" s="3">
        <v>39408</v>
      </c>
      <c r="R14" s="3">
        <v>23550</v>
      </c>
      <c r="S14" s="3">
        <v>391741</v>
      </c>
      <c r="T14" s="3">
        <v>5000</v>
      </c>
      <c r="U14" s="3">
        <v>56229</v>
      </c>
      <c r="V14" s="3">
        <v>9038</v>
      </c>
      <c r="W14" s="3">
        <v>149359</v>
      </c>
      <c r="X14" s="3">
        <v>60924</v>
      </c>
      <c r="Y14" s="3">
        <v>157645</v>
      </c>
      <c r="Z14" s="3">
        <v>44600</v>
      </c>
      <c r="AA14" s="3">
        <v>236004</v>
      </c>
      <c r="AB14" s="3">
        <v>203610</v>
      </c>
      <c r="AC14" s="3">
        <v>884454</v>
      </c>
      <c r="AD14" s="3">
        <v>447436</v>
      </c>
      <c r="AE14" s="3">
        <v>469611</v>
      </c>
      <c r="AF14" s="3">
        <v>64213</v>
      </c>
    </row>
    <row r="15" spans="1:32" s="61" customFormat="1" ht="14.25" customHeight="1" x14ac:dyDescent="0.25">
      <c r="A15" s="60" t="s">
        <v>110</v>
      </c>
      <c r="B15" s="60">
        <v>3.7320000000000002</v>
      </c>
      <c r="C15" s="60">
        <v>3.03</v>
      </c>
      <c r="D15" s="60">
        <v>2.48</v>
      </c>
      <c r="E15" s="60">
        <v>3.73</v>
      </c>
      <c r="F15" s="60">
        <v>1.9</v>
      </c>
      <c r="G15" s="60">
        <v>2.056</v>
      </c>
      <c r="H15" s="60">
        <v>1.9</v>
      </c>
      <c r="I15" s="60">
        <v>43.89</v>
      </c>
      <c r="J15" s="60">
        <v>1.73</v>
      </c>
      <c r="K15" s="60">
        <v>1.93</v>
      </c>
      <c r="L15" s="60">
        <v>1.73</v>
      </c>
      <c r="M15" s="60">
        <v>2.4500000000000002</v>
      </c>
      <c r="N15" s="60">
        <v>1.79</v>
      </c>
      <c r="O15" s="60">
        <v>2.2999999999999998</v>
      </c>
      <c r="P15" s="60">
        <v>2.2000000000000002</v>
      </c>
      <c r="Q15" s="60">
        <v>1.7</v>
      </c>
      <c r="R15" s="60">
        <v>1.56</v>
      </c>
      <c r="S15" s="60">
        <v>0.05</v>
      </c>
      <c r="T15" s="60">
        <v>2.72</v>
      </c>
      <c r="U15" s="60">
        <v>1.81</v>
      </c>
      <c r="V15" s="60">
        <v>2.21</v>
      </c>
      <c r="W15" s="60">
        <v>1.59</v>
      </c>
      <c r="X15" s="60">
        <v>2.14</v>
      </c>
      <c r="Y15" s="60">
        <v>1.85</v>
      </c>
      <c r="Z15" s="60">
        <v>4.63</v>
      </c>
      <c r="AA15" s="60">
        <v>2.17</v>
      </c>
      <c r="AB15" s="60">
        <v>1.95</v>
      </c>
      <c r="AC15" s="60">
        <v>1.91</v>
      </c>
      <c r="AD15" s="60">
        <v>-0.9</v>
      </c>
      <c r="AE15" s="60">
        <v>0.12</v>
      </c>
      <c r="AF15" s="60">
        <v>1.71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Z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25" bestFit="1" customWidth="1"/>
    <col min="2" max="2" width="12.85546875" style="6" customWidth="1"/>
    <col min="3" max="5" width="12.85546875" style="25" customWidth="1"/>
    <col min="6" max="6" width="12.85546875" style="28" customWidth="1"/>
    <col min="7" max="7" width="12.85546875" style="6" customWidth="1"/>
    <col min="8" max="10" width="12.85546875" style="25" customWidth="1"/>
    <col min="11" max="11" width="12.85546875" style="28" customWidth="1"/>
    <col min="12" max="12" width="12.85546875" style="6" customWidth="1"/>
    <col min="13" max="16" width="12.85546875" style="25" customWidth="1"/>
    <col min="17" max="17" width="12.85546875" style="6" customWidth="1"/>
    <col min="18" max="20" width="12.85546875" style="25" customWidth="1"/>
    <col min="21" max="21" width="12.85546875" style="28" customWidth="1"/>
    <col min="22" max="22" width="12.85546875" style="6" customWidth="1"/>
    <col min="23" max="25" width="12.85546875" style="25" customWidth="1"/>
    <col min="26" max="26" width="12.85546875" style="28" customWidth="1"/>
    <col min="27" max="27" width="12.85546875" style="6" customWidth="1"/>
    <col min="28" max="30" width="12.85546875" style="25" customWidth="1"/>
    <col min="31" max="31" width="12.85546875" style="28" customWidth="1"/>
    <col min="32" max="35" width="12.85546875" style="25" customWidth="1"/>
    <col min="36" max="36" width="12.85546875" style="28" customWidth="1"/>
    <col min="37" max="37" width="12.85546875" style="6" customWidth="1"/>
    <col min="38" max="40" width="12.85546875" style="25" customWidth="1"/>
    <col min="41" max="41" width="12.85546875" style="28" customWidth="1"/>
    <col min="42" max="42" width="12.85546875" style="6" customWidth="1"/>
    <col min="43" max="45" width="12.85546875" style="25" customWidth="1"/>
    <col min="46" max="46" width="12.85546875" style="28" customWidth="1"/>
    <col min="47" max="47" width="12.85546875" style="6" customWidth="1"/>
    <col min="48" max="50" width="12.85546875" style="25" customWidth="1"/>
    <col min="51" max="51" width="12.85546875" style="28" customWidth="1"/>
    <col min="52" max="52" width="12.85546875" style="6" customWidth="1"/>
    <col min="53" max="55" width="12.85546875" style="25" customWidth="1"/>
    <col min="56" max="56" width="12.85546875" style="28" customWidth="1"/>
    <col min="57" max="57" width="12.85546875" style="6" customWidth="1"/>
    <col min="58" max="60" width="12.85546875" style="25" customWidth="1"/>
    <col min="61" max="61" width="12.85546875" style="28" customWidth="1"/>
    <col min="62" max="62" width="12.85546875" style="6" customWidth="1"/>
    <col min="63" max="65" width="12.85546875" style="25" customWidth="1"/>
    <col min="66" max="66" width="12.85546875" style="28" customWidth="1"/>
    <col min="67" max="67" width="12.85546875" style="6" customWidth="1"/>
    <col min="68" max="70" width="12.85546875" style="25" customWidth="1"/>
    <col min="71" max="71" width="12.85546875" style="28" customWidth="1"/>
    <col min="72" max="72" width="12.85546875" style="6" customWidth="1"/>
    <col min="73" max="75" width="12.85546875" style="25" customWidth="1"/>
    <col min="76" max="76" width="12.85546875" style="28" customWidth="1"/>
    <col min="77" max="77" width="12.85546875" style="6" customWidth="1"/>
    <col min="78" max="80" width="12.85546875" style="25" customWidth="1"/>
    <col min="81" max="81" width="12.85546875" style="28" customWidth="1"/>
    <col min="82" max="82" width="12.85546875" style="6" customWidth="1"/>
    <col min="83" max="85" width="12.85546875" style="25" customWidth="1"/>
    <col min="86" max="86" width="12.85546875" style="28" customWidth="1"/>
    <col min="87" max="87" width="12.85546875" style="6" customWidth="1"/>
    <col min="88" max="90" width="12.85546875" style="25" customWidth="1"/>
    <col min="91" max="91" width="12.85546875" style="28" customWidth="1"/>
    <col min="92" max="92" width="12.85546875" style="6" customWidth="1"/>
    <col min="93" max="96" width="12.85546875" style="25" customWidth="1"/>
    <col min="97" max="97" width="12.85546875" style="6" customWidth="1"/>
    <col min="98" max="100" width="12.85546875" style="25" customWidth="1"/>
    <col min="101" max="101" width="12.85546875" style="28" customWidth="1"/>
    <col min="102" max="102" width="12.85546875" style="6" customWidth="1"/>
    <col min="103" max="106" width="12.85546875" style="25" customWidth="1"/>
    <col min="107" max="107" width="12.85546875" style="6" customWidth="1"/>
    <col min="108" max="111" width="12.85546875" style="25" customWidth="1"/>
    <col min="112" max="112" width="12.85546875" style="6" customWidth="1"/>
    <col min="113" max="115" width="12.85546875" style="25" customWidth="1"/>
    <col min="116" max="116" width="12.85546875" style="28" customWidth="1"/>
    <col min="117" max="117" width="12.85546875" style="38" customWidth="1"/>
    <col min="118" max="121" width="12.85546875" style="28" customWidth="1"/>
    <col min="122" max="122" width="12.85546875" style="6" customWidth="1"/>
    <col min="123" max="126" width="12.85546875" style="25" customWidth="1"/>
    <col min="127" max="127" width="12.85546875" style="6" customWidth="1"/>
    <col min="128" max="130" width="12.85546875" style="25" customWidth="1"/>
    <col min="131" max="131" width="12.85546875" style="28" customWidth="1"/>
    <col min="132" max="132" width="12.85546875" style="6" customWidth="1"/>
    <col min="133" max="135" width="12.85546875" style="25" customWidth="1"/>
    <col min="136" max="136" width="12.85546875" style="28" customWidth="1"/>
    <col min="137" max="137" width="12.85546875" style="6" customWidth="1"/>
    <col min="138" max="140" width="12.85546875" style="25" customWidth="1"/>
    <col min="141" max="141" width="12.85546875" style="28" customWidth="1"/>
    <col min="142" max="145" width="12.85546875" style="25" customWidth="1"/>
    <col min="146" max="146" width="12.85546875" style="28" customWidth="1"/>
    <col min="147" max="147" width="12.85546875" style="6" customWidth="1"/>
    <col min="148" max="150" width="12.85546875" style="25" customWidth="1"/>
    <col min="151" max="151" width="12.85546875" style="28" customWidth="1"/>
    <col min="152" max="152" width="12.85546875" style="6" customWidth="1"/>
    <col min="153" max="155" width="12.85546875" style="25" customWidth="1"/>
    <col min="156" max="156" width="12.85546875" style="28" customWidth="1"/>
    <col min="157" max="16384" width="9.140625" style="25"/>
  </cols>
  <sheetData>
    <row r="1" spans="1:156" ht="53.25" x14ac:dyDescent="0.25">
      <c r="A1" s="30" t="s">
        <v>258</v>
      </c>
    </row>
    <row r="2" spans="1:156" x14ac:dyDescent="0.25">
      <c r="A2" s="26" t="s">
        <v>0</v>
      </c>
      <c r="B2" s="145" t="s">
        <v>1</v>
      </c>
      <c r="C2" s="145"/>
      <c r="D2" s="145"/>
      <c r="E2" s="145"/>
      <c r="F2" s="145"/>
      <c r="G2" s="145" t="s">
        <v>232</v>
      </c>
      <c r="H2" s="145"/>
      <c r="I2" s="145"/>
      <c r="J2" s="145"/>
      <c r="K2" s="145"/>
      <c r="L2" s="145" t="s">
        <v>2</v>
      </c>
      <c r="M2" s="145"/>
      <c r="N2" s="145"/>
      <c r="O2" s="145"/>
      <c r="P2" s="145"/>
      <c r="Q2" s="145" t="s">
        <v>3</v>
      </c>
      <c r="R2" s="145"/>
      <c r="S2" s="145"/>
      <c r="T2" s="145"/>
      <c r="U2" s="145"/>
      <c r="V2" s="145" t="s">
        <v>241</v>
      </c>
      <c r="W2" s="145"/>
      <c r="X2" s="145"/>
      <c r="Y2" s="145"/>
      <c r="Z2" s="145"/>
      <c r="AA2" s="142" t="s">
        <v>233</v>
      </c>
      <c r="AB2" s="143"/>
      <c r="AC2" s="143"/>
      <c r="AD2" s="143"/>
      <c r="AE2" s="144"/>
      <c r="AF2" s="142" t="s">
        <v>244</v>
      </c>
      <c r="AG2" s="143"/>
      <c r="AH2" s="143"/>
      <c r="AI2" s="143"/>
      <c r="AJ2" s="144"/>
      <c r="AK2" s="142" t="s">
        <v>5</v>
      </c>
      <c r="AL2" s="143"/>
      <c r="AM2" s="143"/>
      <c r="AN2" s="143"/>
      <c r="AO2" s="144"/>
      <c r="AP2" s="142" t="s">
        <v>4</v>
      </c>
      <c r="AQ2" s="143"/>
      <c r="AR2" s="143"/>
      <c r="AS2" s="143"/>
      <c r="AT2" s="144"/>
      <c r="AU2" s="142" t="s">
        <v>6</v>
      </c>
      <c r="AV2" s="143"/>
      <c r="AW2" s="143"/>
      <c r="AX2" s="143"/>
      <c r="AY2" s="144"/>
      <c r="AZ2" s="142" t="s">
        <v>7</v>
      </c>
      <c r="BA2" s="143"/>
      <c r="BB2" s="143"/>
      <c r="BC2" s="143"/>
      <c r="BD2" s="144"/>
      <c r="BE2" s="142" t="s">
        <v>8</v>
      </c>
      <c r="BF2" s="143"/>
      <c r="BG2" s="143"/>
      <c r="BH2" s="143"/>
      <c r="BI2" s="144"/>
      <c r="BJ2" s="142" t="s">
        <v>9</v>
      </c>
      <c r="BK2" s="143"/>
      <c r="BL2" s="143"/>
      <c r="BM2" s="143"/>
      <c r="BN2" s="144"/>
      <c r="BO2" s="142" t="s">
        <v>240</v>
      </c>
      <c r="BP2" s="143"/>
      <c r="BQ2" s="143"/>
      <c r="BR2" s="143"/>
      <c r="BS2" s="144"/>
      <c r="BT2" s="142" t="s">
        <v>10</v>
      </c>
      <c r="BU2" s="143"/>
      <c r="BV2" s="143"/>
      <c r="BW2" s="143"/>
      <c r="BX2" s="144"/>
      <c r="BY2" s="142" t="s">
        <v>11</v>
      </c>
      <c r="BZ2" s="143"/>
      <c r="CA2" s="143"/>
      <c r="CB2" s="143"/>
      <c r="CC2" s="144"/>
      <c r="CD2" s="142" t="s">
        <v>234</v>
      </c>
      <c r="CE2" s="143"/>
      <c r="CF2" s="143"/>
      <c r="CG2" s="143"/>
      <c r="CH2" s="144"/>
      <c r="CI2" s="142" t="s">
        <v>243</v>
      </c>
      <c r="CJ2" s="143"/>
      <c r="CK2" s="143"/>
      <c r="CL2" s="143"/>
      <c r="CM2" s="144"/>
      <c r="CN2" s="142" t="s">
        <v>12</v>
      </c>
      <c r="CO2" s="143"/>
      <c r="CP2" s="143"/>
      <c r="CQ2" s="143"/>
      <c r="CR2" s="144"/>
      <c r="CS2" s="142" t="s">
        <v>235</v>
      </c>
      <c r="CT2" s="143"/>
      <c r="CU2" s="143"/>
      <c r="CV2" s="143"/>
      <c r="CW2" s="144"/>
      <c r="CX2" s="142" t="s">
        <v>236</v>
      </c>
      <c r="CY2" s="143"/>
      <c r="CZ2" s="143"/>
      <c r="DA2" s="143"/>
      <c r="DB2" s="144"/>
      <c r="DC2" s="142" t="s">
        <v>239</v>
      </c>
      <c r="DD2" s="143"/>
      <c r="DE2" s="143"/>
      <c r="DF2" s="143"/>
      <c r="DG2" s="144"/>
      <c r="DH2" s="145" t="s">
        <v>13</v>
      </c>
      <c r="DI2" s="145"/>
      <c r="DJ2" s="145"/>
      <c r="DK2" s="145"/>
      <c r="DL2" s="145"/>
      <c r="DM2" s="145" t="s">
        <v>14</v>
      </c>
      <c r="DN2" s="145"/>
      <c r="DO2" s="145"/>
      <c r="DP2" s="145"/>
      <c r="DQ2" s="145"/>
      <c r="DR2" s="145" t="s">
        <v>15</v>
      </c>
      <c r="DS2" s="145"/>
      <c r="DT2" s="145"/>
      <c r="DU2" s="145"/>
      <c r="DV2" s="145"/>
      <c r="DW2" s="145" t="s">
        <v>16</v>
      </c>
      <c r="DX2" s="145"/>
      <c r="DY2" s="145"/>
      <c r="DZ2" s="145"/>
      <c r="EA2" s="145"/>
      <c r="EB2" s="145" t="s">
        <v>17</v>
      </c>
      <c r="EC2" s="145"/>
      <c r="ED2" s="145"/>
      <c r="EE2" s="145"/>
      <c r="EF2" s="145"/>
      <c r="EG2" s="145" t="s">
        <v>237</v>
      </c>
      <c r="EH2" s="145"/>
      <c r="EI2" s="145"/>
      <c r="EJ2" s="145"/>
      <c r="EK2" s="145"/>
      <c r="EL2" s="145" t="s">
        <v>238</v>
      </c>
      <c r="EM2" s="145"/>
      <c r="EN2" s="145"/>
      <c r="EO2" s="145"/>
      <c r="EP2" s="145"/>
      <c r="EQ2" s="145" t="s">
        <v>18</v>
      </c>
      <c r="ER2" s="145"/>
      <c r="ES2" s="145"/>
      <c r="ET2" s="145"/>
      <c r="EU2" s="145"/>
      <c r="EV2" s="145" t="s">
        <v>19</v>
      </c>
      <c r="EW2" s="145"/>
      <c r="EX2" s="145"/>
      <c r="EY2" s="145"/>
      <c r="EZ2" s="145"/>
    </row>
    <row r="3" spans="1:156" ht="15" customHeight="1" x14ac:dyDescent="0.25">
      <c r="A3" s="138" t="s">
        <v>146</v>
      </c>
      <c r="B3" s="140" t="s">
        <v>140</v>
      </c>
      <c r="C3" s="138" t="s">
        <v>141</v>
      </c>
      <c r="D3" s="138"/>
      <c r="E3" s="138"/>
      <c r="F3" s="139" t="s">
        <v>142</v>
      </c>
      <c r="G3" s="140" t="s">
        <v>140</v>
      </c>
      <c r="H3" s="138" t="s">
        <v>141</v>
      </c>
      <c r="I3" s="138"/>
      <c r="J3" s="138"/>
      <c r="K3" s="139" t="s">
        <v>142</v>
      </c>
      <c r="L3" s="140" t="s">
        <v>140</v>
      </c>
      <c r="M3" s="138" t="s">
        <v>141</v>
      </c>
      <c r="N3" s="138"/>
      <c r="O3" s="138"/>
      <c r="P3" s="138" t="s">
        <v>142</v>
      </c>
      <c r="Q3" s="140" t="s">
        <v>140</v>
      </c>
      <c r="R3" s="138" t="s">
        <v>141</v>
      </c>
      <c r="S3" s="138"/>
      <c r="T3" s="138"/>
      <c r="U3" s="139" t="s">
        <v>142</v>
      </c>
      <c r="V3" s="140" t="s">
        <v>140</v>
      </c>
      <c r="W3" s="138" t="s">
        <v>141</v>
      </c>
      <c r="X3" s="138"/>
      <c r="Y3" s="138"/>
      <c r="Z3" s="139" t="s">
        <v>142</v>
      </c>
      <c r="AA3" s="140" t="s">
        <v>140</v>
      </c>
      <c r="AB3" s="138" t="s">
        <v>141</v>
      </c>
      <c r="AC3" s="138"/>
      <c r="AD3" s="138"/>
      <c r="AE3" s="139" t="s">
        <v>142</v>
      </c>
      <c r="AF3" s="138" t="s">
        <v>140</v>
      </c>
      <c r="AG3" s="138" t="s">
        <v>141</v>
      </c>
      <c r="AH3" s="138"/>
      <c r="AI3" s="138"/>
      <c r="AJ3" s="139" t="s">
        <v>142</v>
      </c>
      <c r="AK3" s="140" t="s">
        <v>140</v>
      </c>
      <c r="AL3" s="138" t="s">
        <v>141</v>
      </c>
      <c r="AM3" s="138"/>
      <c r="AN3" s="138"/>
      <c r="AO3" s="139" t="s">
        <v>142</v>
      </c>
      <c r="AP3" s="140" t="s">
        <v>140</v>
      </c>
      <c r="AQ3" s="138" t="s">
        <v>141</v>
      </c>
      <c r="AR3" s="138"/>
      <c r="AS3" s="138"/>
      <c r="AT3" s="139" t="s">
        <v>142</v>
      </c>
      <c r="AU3" s="140" t="s">
        <v>140</v>
      </c>
      <c r="AV3" s="138" t="s">
        <v>141</v>
      </c>
      <c r="AW3" s="138"/>
      <c r="AX3" s="138"/>
      <c r="AY3" s="139" t="s">
        <v>142</v>
      </c>
      <c r="AZ3" s="140" t="s">
        <v>140</v>
      </c>
      <c r="BA3" s="138" t="s">
        <v>141</v>
      </c>
      <c r="BB3" s="138"/>
      <c r="BC3" s="138"/>
      <c r="BD3" s="139" t="s">
        <v>142</v>
      </c>
      <c r="BE3" s="140" t="s">
        <v>140</v>
      </c>
      <c r="BF3" s="138" t="s">
        <v>141</v>
      </c>
      <c r="BG3" s="138"/>
      <c r="BH3" s="138"/>
      <c r="BI3" s="139" t="s">
        <v>142</v>
      </c>
      <c r="BJ3" s="140" t="s">
        <v>140</v>
      </c>
      <c r="BK3" s="138" t="s">
        <v>141</v>
      </c>
      <c r="BL3" s="138"/>
      <c r="BM3" s="138"/>
      <c r="BN3" s="139" t="s">
        <v>142</v>
      </c>
      <c r="BO3" s="140" t="s">
        <v>140</v>
      </c>
      <c r="BP3" s="138" t="s">
        <v>141</v>
      </c>
      <c r="BQ3" s="138"/>
      <c r="BR3" s="138"/>
      <c r="BS3" s="139" t="s">
        <v>142</v>
      </c>
      <c r="BT3" s="140" t="s">
        <v>140</v>
      </c>
      <c r="BU3" s="138" t="s">
        <v>141</v>
      </c>
      <c r="BV3" s="138"/>
      <c r="BW3" s="138"/>
      <c r="BX3" s="139" t="s">
        <v>142</v>
      </c>
      <c r="BY3" s="140" t="s">
        <v>140</v>
      </c>
      <c r="BZ3" s="138" t="s">
        <v>141</v>
      </c>
      <c r="CA3" s="138"/>
      <c r="CB3" s="138"/>
      <c r="CC3" s="139" t="s">
        <v>142</v>
      </c>
      <c r="CD3" s="140" t="s">
        <v>140</v>
      </c>
      <c r="CE3" s="138" t="s">
        <v>141</v>
      </c>
      <c r="CF3" s="138"/>
      <c r="CG3" s="138"/>
      <c r="CH3" s="139" t="s">
        <v>142</v>
      </c>
      <c r="CI3" s="140" t="s">
        <v>140</v>
      </c>
      <c r="CJ3" s="138" t="s">
        <v>141</v>
      </c>
      <c r="CK3" s="138"/>
      <c r="CL3" s="138"/>
      <c r="CM3" s="139" t="s">
        <v>142</v>
      </c>
      <c r="CN3" s="140" t="s">
        <v>140</v>
      </c>
      <c r="CO3" s="138" t="s">
        <v>141</v>
      </c>
      <c r="CP3" s="138"/>
      <c r="CQ3" s="138"/>
      <c r="CR3" s="141" t="s">
        <v>142</v>
      </c>
      <c r="CS3" s="140" t="s">
        <v>140</v>
      </c>
      <c r="CT3" s="138" t="s">
        <v>141</v>
      </c>
      <c r="CU3" s="138"/>
      <c r="CV3" s="138"/>
      <c r="CW3" s="139" t="s">
        <v>142</v>
      </c>
      <c r="CX3" s="140" t="s">
        <v>140</v>
      </c>
      <c r="CY3" s="138" t="s">
        <v>141</v>
      </c>
      <c r="CZ3" s="138"/>
      <c r="DA3" s="138"/>
      <c r="DB3" s="141" t="s">
        <v>142</v>
      </c>
      <c r="DC3" s="140" t="s">
        <v>140</v>
      </c>
      <c r="DD3" s="138" t="s">
        <v>141</v>
      </c>
      <c r="DE3" s="138"/>
      <c r="DF3" s="138"/>
      <c r="DG3" s="141" t="s">
        <v>142</v>
      </c>
      <c r="DH3" s="140" t="s">
        <v>140</v>
      </c>
      <c r="DI3" s="138" t="s">
        <v>141</v>
      </c>
      <c r="DJ3" s="138"/>
      <c r="DK3" s="138"/>
      <c r="DL3" s="139" t="s">
        <v>142</v>
      </c>
      <c r="DM3" s="140" t="s">
        <v>140</v>
      </c>
      <c r="DN3" s="138" t="s">
        <v>141</v>
      </c>
      <c r="DO3" s="138"/>
      <c r="DP3" s="138"/>
      <c r="DQ3" s="139" t="s">
        <v>142</v>
      </c>
      <c r="DR3" s="140" t="s">
        <v>140</v>
      </c>
      <c r="DS3" s="138" t="s">
        <v>141</v>
      </c>
      <c r="DT3" s="138"/>
      <c r="DU3" s="138"/>
      <c r="DV3" s="141" t="s">
        <v>142</v>
      </c>
      <c r="DW3" s="140" t="s">
        <v>140</v>
      </c>
      <c r="DX3" s="138" t="s">
        <v>141</v>
      </c>
      <c r="DY3" s="138"/>
      <c r="DZ3" s="138"/>
      <c r="EA3" s="139" t="s">
        <v>142</v>
      </c>
      <c r="EB3" s="140" t="s">
        <v>140</v>
      </c>
      <c r="EC3" s="138" t="s">
        <v>141</v>
      </c>
      <c r="ED3" s="138"/>
      <c r="EE3" s="138"/>
      <c r="EF3" s="139" t="s">
        <v>142</v>
      </c>
      <c r="EG3" s="140" t="s">
        <v>140</v>
      </c>
      <c r="EH3" s="138" t="s">
        <v>141</v>
      </c>
      <c r="EI3" s="138"/>
      <c r="EJ3" s="138"/>
      <c r="EK3" s="139" t="s">
        <v>142</v>
      </c>
      <c r="EL3" s="138" t="s">
        <v>140</v>
      </c>
      <c r="EM3" s="138" t="s">
        <v>141</v>
      </c>
      <c r="EN3" s="138"/>
      <c r="EO3" s="138"/>
      <c r="EP3" s="139" t="s">
        <v>142</v>
      </c>
      <c r="EQ3" s="140" t="s">
        <v>140</v>
      </c>
      <c r="ER3" s="138" t="s">
        <v>141</v>
      </c>
      <c r="ES3" s="138"/>
      <c r="ET3" s="138"/>
      <c r="EU3" s="139" t="s">
        <v>142</v>
      </c>
      <c r="EV3" s="140" t="s">
        <v>140</v>
      </c>
      <c r="EW3" s="138" t="s">
        <v>141</v>
      </c>
      <c r="EX3" s="138"/>
      <c r="EY3" s="138"/>
      <c r="EZ3" s="139" t="s">
        <v>142</v>
      </c>
    </row>
    <row r="4" spans="1:156" ht="30" x14ac:dyDescent="0.25">
      <c r="A4" s="138"/>
      <c r="B4" s="140"/>
      <c r="C4" s="13" t="s">
        <v>143</v>
      </c>
      <c r="D4" s="13" t="s">
        <v>144</v>
      </c>
      <c r="E4" s="13" t="s">
        <v>145</v>
      </c>
      <c r="F4" s="139"/>
      <c r="G4" s="140"/>
      <c r="H4" s="13" t="s">
        <v>143</v>
      </c>
      <c r="I4" s="13" t="s">
        <v>144</v>
      </c>
      <c r="J4" s="13" t="s">
        <v>145</v>
      </c>
      <c r="K4" s="139"/>
      <c r="L4" s="140"/>
      <c r="M4" s="13" t="s">
        <v>143</v>
      </c>
      <c r="N4" s="13" t="s">
        <v>144</v>
      </c>
      <c r="O4" s="13" t="s">
        <v>145</v>
      </c>
      <c r="P4" s="138"/>
      <c r="Q4" s="140"/>
      <c r="R4" s="13" t="s">
        <v>143</v>
      </c>
      <c r="S4" s="13" t="s">
        <v>144</v>
      </c>
      <c r="T4" s="13" t="s">
        <v>145</v>
      </c>
      <c r="U4" s="139"/>
      <c r="V4" s="140"/>
      <c r="W4" s="13" t="s">
        <v>143</v>
      </c>
      <c r="X4" s="13" t="s">
        <v>144</v>
      </c>
      <c r="Y4" s="13" t="s">
        <v>145</v>
      </c>
      <c r="Z4" s="139"/>
      <c r="AA4" s="140"/>
      <c r="AB4" s="13" t="s">
        <v>143</v>
      </c>
      <c r="AC4" s="13" t="s">
        <v>144</v>
      </c>
      <c r="AD4" s="13" t="s">
        <v>145</v>
      </c>
      <c r="AE4" s="139"/>
      <c r="AF4" s="138"/>
      <c r="AG4" s="13" t="s">
        <v>143</v>
      </c>
      <c r="AH4" s="13" t="s">
        <v>144</v>
      </c>
      <c r="AI4" s="13" t="s">
        <v>145</v>
      </c>
      <c r="AJ4" s="139"/>
      <c r="AK4" s="140"/>
      <c r="AL4" s="13" t="s">
        <v>143</v>
      </c>
      <c r="AM4" s="13" t="s">
        <v>144</v>
      </c>
      <c r="AN4" s="13" t="s">
        <v>145</v>
      </c>
      <c r="AO4" s="139"/>
      <c r="AP4" s="140"/>
      <c r="AQ4" s="13" t="s">
        <v>143</v>
      </c>
      <c r="AR4" s="13" t="s">
        <v>144</v>
      </c>
      <c r="AS4" s="13" t="s">
        <v>145</v>
      </c>
      <c r="AT4" s="139"/>
      <c r="AU4" s="140"/>
      <c r="AV4" s="13" t="s">
        <v>143</v>
      </c>
      <c r="AW4" s="13" t="s">
        <v>144</v>
      </c>
      <c r="AX4" s="13" t="s">
        <v>145</v>
      </c>
      <c r="AY4" s="139"/>
      <c r="AZ4" s="140"/>
      <c r="BA4" s="13" t="s">
        <v>143</v>
      </c>
      <c r="BB4" s="13" t="s">
        <v>144</v>
      </c>
      <c r="BC4" s="13" t="s">
        <v>145</v>
      </c>
      <c r="BD4" s="139"/>
      <c r="BE4" s="140"/>
      <c r="BF4" s="13" t="s">
        <v>143</v>
      </c>
      <c r="BG4" s="13" t="s">
        <v>144</v>
      </c>
      <c r="BH4" s="13" t="s">
        <v>145</v>
      </c>
      <c r="BI4" s="139"/>
      <c r="BJ4" s="140"/>
      <c r="BK4" s="13" t="s">
        <v>143</v>
      </c>
      <c r="BL4" s="13" t="s">
        <v>144</v>
      </c>
      <c r="BM4" s="13" t="s">
        <v>145</v>
      </c>
      <c r="BN4" s="139"/>
      <c r="BO4" s="140"/>
      <c r="BP4" s="13" t="s">
        <v>143</v>
      </c>
      <c r="BQ4" s="13" t="s">
        <v>144</v>
      </c>
      <c r="BR4" s="13" t="s">
        <v>145</v>
      </c>
      <c r="BS4" s="139"/>
      <c r="BT4" s="140"/>
      <c r="BU4" s="13" t="s">
        <v>143</v>
      </c>
      <c r="BV4" s="13" t="s">
        <v>144</v>
      </c>
      <c r="BW4" s="13" t="s">
        <v>145</v>
      </c>
      <c r="BX4" s="139"/>
      <c r="BY4" s="140"/>
      <c r="BZ4" s="13" t="s">
        <v>143</v>
      </c>
      <c r="CA4" s="13" t="s">
        <v>144</v>
      </c>
      <c r="CB4" s="13" t="s">
        <v>145</v>
      </c>
      <c r="CC4" s="139"/>
      <c r="CD4" s="140"/>
      <c r="CE4" s="13" t="s">
        <v>143</v>
      </c>
      <c r="CF4" s="13" t="s">
        <v>144</v>
      </c>
      <c r="CG4" s="13" t="s">
        <v>145</v>
      </c>
      <c r="CH4" s="139"/>
      <c r="CI4" s="140"/>
      <c r="CJ4" s="13" t="s">
        <v>143</v>
      </c>
      <c r="CK4" s="13" t="s">
        <v>144</v>
      </c>
      <c r="CL4" s="13" t="s">
        <v>145</v>
      </c>
      <c r="CM4" s="139"/>
      <c r="CN4" s="140"/>
      <c r="CO4" s="13" t="s">
        <v>143</v>
      </c>
      <c r="CP4" s="13" t="s">
        <v>144</v>
      </c>
      <c r="CQ4" s="13" t="s">
        <v>145</v>
      </c>
      <c r="CR4" s="141"/>
      <c r="CS4" s="140"/>
      <c r="CT4" s="13" t="s">
        <v>143</v>
      </c>
      <c r="CU4" s="13" t="s">
        <v>144</v>
      </c>
      <c r="CV4" s="13" t="s">
        <v>145</v>
      </c>
      <c r="CW4" s="139"/>
      <c r="CX4" s="140"/>
      <c r="CY4" s="13" t="s">
        <v>143</v>
      </c>
      <c r="CZ4" s="13" t="s">
        <v>144</v>
      </c>
      <c r="DA4" s="13" t="s">
        <v>145</v>
      </c>
      <c r="DB4" s="141"/>
      <c r="DC4" s="140"/>
      <c r="DD4" s="13" t="s">
        <v>143</v>
      </c>
      <c r="DE4" s="13" t="s">
        <v>144</v>
      </c>
      <c r="DF4" s="13" t="s">
        <v>145</v>
      </c>
      <c r="DG4" s="141"/>
      <c r="DH4" s="140"/>
      <c r="DI4" s="13" t="s">
        <v>143</v>
      </c>
      <c r="DJ4" s="13" t="s">
        <v>144</v>
      </c>
      <c r="DK4" s="13" t="s">
        <v>145</v>
      </c>
      <c r="DL4" s="139"/>
      <c r="DM4" s="140"/>
      <c r="DN4" s="13" t="s">
        <v>143</v>
      </c>
      <c r="DO4" s="13" t="s">
        <v>144</v>
      </c>
      <c r="DP4" s="13" t="s">
        <v>145</v>
      </c>
      <c r="DQ4" s="139"/>
      <c r="DR4" s="140"/>
      <c r="DS4" s="13" t="s">
        <v>143</v>
      </c>
      <c r="DT4" s="13" t="s">
        <v>144</v>
      </c>
      <c r="DU4" s="13" t="s">
        <v>145</v>
      </c>
      <c r="DV4" s="141"/>
      <c r="DW4" s="140"/>
      <c r="DX4" s="13" t="s">
        <v>143</v>
      </c>
      <c r="DY4" s="13" t="s">
        <v>144</v>
      </c>
      <c r="DZ4" s="13" t="s">
        <v>145</v>
      </c>
      <c r="EA4" s="139"/>
      <c r="EB4" s="140"/>
      <c r="EC4" s="13" t="s">
        <v>143</v>
      </c>
      <c r="ED4" s="13" t="s">
        <v>144</v>
      </c>
      <c r="EE4" s="13" t="s">
        <v>145</v>
      </c>
      <c r="EF4" s="139"/>
      <c r="EG4" s="140"/>
      <c r="EH4" s="13" t="s">
        <v>143</v>
      </c>
      <c r="EI4" s="13" t="s">
        <v>144</v>
      </c>
      <c r="EJ4" s="13" t="s">
        <v>145</v>
      </c>
      <c r="EK4" s="139"/>
      <c r="EL4" s="138"/>
      <c r="EM4" s="13" t="s">
        <v>143</v>
      </c>
      <c r="EN4" s="13" t="s">
        <v>144</v>
      </c>
      <c r="EO4" s="13" t="s">
        <v>145</v>
      </c>
      <c r="EP4" s="139"/>
      <c r="EQ4" s="140"/>
      <c r="ER4" s="13" t="s">
        <v>143</v>
      </c>
      <c r="ES4" s="13" t="s">
        <v>144</v>
      </c>
      <c r="ET4" s="13" t="s">
        <v>145</v>
      </c>
      <c r="EU4" s="139"/>
      <c r="EV4" s="140"/>
      <c r="EW4" s="13" t="s">
        <v>143</v>
      </c>
      <c r="EX4" s="13" t="s">
        <v>144</v>
      </c>
      <c r="EY4" s="13" t="s">
        <v>145</v>
      </c>
      <c r="EZ4" s="139"/>
    </row>
    <row r="5" spans="1:156" x14ac:dyDescent="0.25">
      <c r="A5" s="54" t="s">
        <v>250</v>
      </c>
      <c r="B5" s="50"/>
      <c r="C5" s="13"/>
      <c r="D5" s="13"/>
      <c r="E5" s="13"/>
      <c r="F5" s="55"/>
      <c r="G5" s="50"/>
      <c r="H5" s="13"/>
      <c r="I5" s="13"/>
      <c r="J5" s="13"/>
      <c r="K5" s="55"/>
      <c r="L5" s="50"/>
      <c r="M5" s="13"/>
      <c r="N5" s="13"/>
      <c r="O5" s="13"/>
      <c r="P5" s="54"/>
      <c r="Q5" s="50"/>
      <c r="R5" s="13"/>
      <c r="S5" s="13"/>
      <c r="T5" s="13"/>
      <c r="U5" s="55"/>
      <c r="V5" s="50"/>
      <c r="W5" s="13"/>
      <c r="X5" s="13"/>
      <c r="Y5" s="13"/>
      <c r="Z5" s="55"/>
      <c r="AA5" s="50"/>
      <c r="AB5" s="13"/>
      <c r="AC5" s="13"/>
      <c r="AD5" s="13"/>
      <c r="AE5" s="55"/>
      <c r="AF5" s="54"/>
      <c r="AG5" s="13"/>
      <c r="AH5" s="13"/>
      <c r="AI5" s="13"/>
      <c r="AJ5" s="55"/>
      <c r="AK5" s="50"/>
      <c r="AL5" s="13"/>
      <c r="AM5" s="13"/>
      <c r="AN5" s="13"/>
      <c r="AO5" s="55"/>
      <c r="AP5" s="50"/>
      <c r="AQ5" s="13"/>
      <c r="AR5" s="13"/>
      <c r="AS5" s="13"/>
      <c r="AT5" s="55"/>
      <c r="AU5" s="50"/>
      <c r="AV5" s="13"/>
      <c r="AW5" s="13"/>
      <c r="AX5" s="13"/>
      <c r="AY5" s="55"/>
      <c r="AZ5" s="50"/>
      <c r="BA5" s="13"/>
      <c r="BB5" s="13"/>
      <c r="BC5" s="13"/>
      <c r="BD5" s="55"/>
      <c r="BE5" s="50"/>
      <c r="BF5" s="13"/>
      <c r="BG5" s="13"/>
      <c r="BH5" s="13"/>
      <c r="BI5" s="55"/>
      <c r="BJ5" s="50"/>
      <c r="BK5" s="13"/>
      <c r="BL5" s="13"/>
      <c r="BM5" s="13"/>
      <c r="BN5" s="55"/>
      <c r="BO5" s="50"/>
      <c r="BP5" s="13"/>
      <c r="BQ5" s="13"/>
      <c r="BR5" s="13"/>
      <c r="BS5" s="55"/>
      <c r="BT5" s="50"/>
      <c r="BU5" s="13"/>
      <c r="BV5" s="13"/>
      <c r="BW5" s="13"/>
      <c r="BX5" s="55"/>
      <c r="BY5" s="50"/>
      <c r="BZ5" s="13"/>
      <c r="CA5" s="13"/>
      <c r="CB5" s="13"/>
      <c r="CC5" s="55"/>
      <c r="CD5" s="50"/>
      <c r="CE5" s="13"/>
      <c r="CF5" s="13"/>
      <c r="CG5" s="13"/>
      <c r="CH5" s="55"/>
      <c r="CI5" s="50"/>
      <c r="CJ5" s="13"/>
      <c r="CK5" s="13"/>
      <c r="CL5" s="13"/>
      <c r="CM5" s="55"/>
      <c r="CN5" s="50"/>
      <c r="CO5" s="13"/>
      <c r="CP5" s="13"/>
      <c r="CQ5" s="13"/>
      <c r="CR5" s="56"/>
      <c r="CS5" s="50"/>
      <c r="CT5" s="13"/>
      <c r="CU5" s="13"/>
      <c r="CV5" s="13"/>
      <c r="CW5" s="55"/>
      <c r="CX5" s="50"/>
      <c r="CY5" s="13"/>
      <c r="CZ5" s="13"/>
      <c r="DA5" s="13"/>
      <c r="DB5" s="56"/>
      <c r="DC5" s="50"/>
      <c r="DD5" s="13"/>
      <c r="DE5" s="13"/>
      <c r="DF5" s="13"/>
      <c r="DG5" s="56"/>
      <c r="DH5" s="50"/>
      <c r="DI5" s="13"/>
      <c r="DJ5" s="13"/>
      <c r="DK5" s="13"/>
      <c r="DL5" s="55"/>
      <c r="DM5" s="50"/>
      <c r="DN5" s="13"/>
      <c r="DO5" s="13"/>
      <c r="DP5" s="13"/>
      <c r="DQ5" s="55"/>
      <c r="DR5" s="50"/>
      <c r="DS5" s="13"/>
      <c r="DT5" s="13"/>
      <c r="DU5" s="13"/>
      <c r="DV5" s="56"/>
      <c r="DW5" s="50"/>
      <c r="DX5" s="13"/>
      <c r="DY5" s="13"/>
      <c r="DZ5" s="13"/>
      <c r="EA5" s="55"/>
      <c r="EB5" s="50"/>
      <c r="EC5" s="13"/>
      <c r="ED5" s="13"/>
      <c r="EE5" s="13"/>
      <c r="EF5" s="55"/>
      <c r="EG5" s="50"/>
      <c r="EH5" s="13"/>
      <c r="EI5" s="13"/>
      <c r="EJ5" s="13"/>
      <c r="EK5" s="55"/>
      <c r="EL5" s="54"/>
      <c r="EM5" s="13"/>
      <c r="EN5" s="13"/>
      <c r="EO5" s="13"/>
      <c r="EP5" s="55"/>
      <c r="EQ5" s="50"/>
      <c r="ER5" s="13"/>
      <c r="ES5" s="13"/>
      <c r="ET5" s="13"/>
      <c r="EU5" s="55"/>
      <c r="EV5" s="50"/>
      <c r="EW5" s="13"/>
      <c r="EX5" s="13"/>
      <c r="EY5" s="13"/>
      <c r="EZ5" s="55"/>
    </row>
    <row r="6" spans="1:156" x14ac:dyDescent="0.25">
      <c r="A6" s="14" t="s">
        <v>147</v>
      </c>
      <c r="B6" s="9"/>
      <c r="C6" s="14"/>
      <c r="D6" s="14"/>
      <c r="E6" s="14"/>
      <c r="F6" s="22"/>
      <c r="G6" s="9"/>
      <c r="H6" s="14"/>
      <c r="I6" s="14"/>
      <c r="J6" s="14"/>
      <c r="K6" s="22"/>
      <c r="L6" s="9"/>
      <c r="M6" s="14"/>
      <c r="N6" s="14"/>
      <c r="O6" s="14"/>
      <c r="P6" s="14"/>
      <c r="Q6" s="9"/>
      <c r="R6" s="14"/>
      <c r="S6" s="14"/>
      <c r="T6" s="14"/>
      <c r="U6" s="22"/>
      <c r="V6" s="9"/>
      <c r="W6" s="14"/>
      <c r="X6" s="14"/>
      <c r="Y6" s="14"/>
      <c r="Z6" s="22"/>
      <c r="AA6" s="9"/>
      <c r="AB6" s="14"/>
      <c r="AC6" s="14"/>
      <c r="AD6" s="14"/>
      <c r="AE6" s="22"/>
      <c r="AF6" s="9"/>
      <c r="AG6" s="14"/>
      <c r="AH6" s="14"/>
      <c r="AI6" s="14"/>
      <c r="AJ6" s="22"/>
      <c r="AK6" s="9"/>
      <c r="AL6" s="14"/>
      <c r="AM6" s="14"/>
      <c r="AN6" s="14"/>
      <c r="AO6" s="22"/>
      <c r="AP6" s="9"/>
      <c r="AQ6" s="14"/>
      <c r="AR6" s="14"/>
      <c r="AS6" s="9"/>
      <c r="AT6" s="22"/>
      <c r="AU6" s="9"/>
      <c r="AV6" s="14"/>
      <c r="AW6" s="14"/>
      <c r="AX6" s="14"/>
      <c r="AY6" s="22"/>
      <c r="AZ6" s="9"/>
      <c r="BA6" s="14"/>
      <c r="BB6" s="14"/>
      <c r="BC6" s="14"/>
      <c r="BD6" s="22"/>
      <c r="BE6" s="9"/>
      <c r="BF6" s="14"/>
      <c r="BG6" s="14"/>
      <c r="BH6" s="14"/>
      <c r="BI6" s="22"/>
      <c r="BJ6" s="9"/>
      <c r="BK6" s="14"/>
      <c r="BL6" s="14"/>
      <c r="BM6" s="14"/>
      <c r="BN6" s="22"/>
      <c r="BO6" s="9"/>
      <c r="BP6" s="14"/>
      <c r="BQ6" s="14"/>
      <c r="BR6" s="14"/>
      <c r="BS6" s="22"/>
      <c r="BT6" s="9"/>
      <c r="BU6" s="14"/>
      <c r="BV6" s="14"/>
      <c r="BW6" s="14"/>
      <c r="BX6" s="22"/>
      <c r="BY6" s="9"/>
      <c r="BZ6" s="14"/>
      <c r="CA6" s="14"/>
      <c r="CB6" s="14"/>
      <c r="CC6" s="22"/>
      <c r="CD6" s="9"/>
      <c r="CE6" s="14"/>
      <c r="CF6" s="14"/>
      <c r="CG6" s="14"/>
      <c r="CH6" s="22"/>
      <c r="CI6" s="9"/>
      <c r="CJ6" s="14"/>
      <c r="CK6" s="14"/>
      <c r="CL6" s="14"/>
      <c r="CM6" s="22"/>
      <c r="CN6" s="9"/>
      <c r="CO6" s="14"/>
      <c r="CP6" s="14"/>
      <c r="CQ6" s="14"/>
      <c r="CR6" s="14"/>
      <c r="CS6" s="9"/>
      <c r="CT6" s="14"/>
      <c r="CU6" s="14"/>
      <c r="CV6" s="14"/>
      <c r="CW6" s="22"/>
      <c r="CX6" s="9"/>
      <c r="CY6" s="14"/>
      <c r="CZ6" s="14"/>
      <c r="DA6" s="14"/>
      <c r="DB6" s="22"/>
      <c r="DC6" s="9"/>
      <c r="DD6" s="14"/>
      <c r="DE6" s="14"/>
      <c r="DF6" s="14"/>
      <c r="DG6" s="14"/>
      <c r="DH6" s="9"/>
      <c r="DI6" s="14"/>
      <c r="DJ6" s="14"/>
      <c r="DK6" s="14"/>
      <c r="DL6" s="22"/>
      <c r="DM6" s="39"/>
      <c r="DN6" s="23"/>
      <c r="DO6" s="22"/>
      <c r="DP6" s="22"/>
      <c r="DQ6" s="22"/>
      <c r="DR6" s="9"/>
      <c r="DS6" s="14"/>
      <c r="DT6" s="14"/>
      <c r="DU6" s="14"/>
      <c r="DV6" s="14"/>
      <c r="DW6" s="9"/>
      <c r="DX6" s="14"/>
      <c r="DY6" s="14"/>
      <c r="DZ6" s="14"/>
      <c r="EA6" s="22"/>
      <c r="EB6" s="9">
        <v>2</v>
      </c>
      <c r="EC6" s="9">
        <v>515</v>
      </c>
      <c r="ED6" s="9">
        <v>47</v>
      </c>
      <c r="EE6" s="9">
        <v>568</v>
      </c>
      <c r="EF6" s="22"/>
      <c r="EG6" s="9"/>
      <c r="EH6" s="14"/>
      <c r="EI6" s="14"/>
      <c r="EJ6" s="14"/>
      <c r="EK6" s="22"/>
      <c r="EL6" s="14"/>
      <c r="EM6" s="14"/>
      <c r="EN6" s="14"/>
      <c r="EO6" s="14"/>
      <c r="EP6" s="22"/>
      <c r="EQ6" s="9">
        <v>5</v>
      </c>
      <c r="ER6" s="9">
        <v>52</v>
      </c>
      <c r="ES6" s="9"/>
      <c r="ET6" s="9">
        <v>210</v>
      </c>
      <c r="EU6" s="22">
        <v>1.4E-3</v>
      </c>
      <c r="EV6" s="9"/>
      <c r="EW6" s="14"/>
      <c r="EX6" s="14"/>
      <c r="EY6" s="14"/>
      <c r="EZ6" s="22"/>
    </row>
    <row r="7" spans="1:156" x14ac:dyDescent="0.25">
      <c r="A7" s="14" t="s">
        <v>148</v>
      </c>
      <c r="B7" s="9"/>
      <c r="C7" s="14"/>
      <c r="D7" s="14"/>
      <c r="E7" s="14"/>
      <c r="F7" s="22"/>
      <c r="G7" s="9"/>
      <c r="H7" s="14"/>
      <c r="I7" s="14"/>
      <c r="J7" s="14"/>
      <c r="K7" s="22"/>
      <c r="L7" s="9">
        <v>8</v>
      </c>
      <c r="M7" s="14">
        <v>238522.29</v>
      </c>
      <c r="N7" s="14">
        <v>1082.0899999999999</v>
      </c>
      <c r="O7" s="23">
        <v>2368.54</v>
      </c>
      <c r="P7" s="22">
        <v>0.4052</v>
      </c>
      <c r="Q7" s="9">
        <v>30</v>
      </c>
      <c r="R7" s="14">
        <v>75771.09</v>
      </c>
      <c r="S7" s="70">
        <v>181.36</v>
      </c>
      <c r="T7" s="14">
        <v>43171.4</v>
      </c>
      <c r="U7" s="21">
        <v>0.2135</v>
      </c>
      <c r="V7" s="9"/>
      <c r="W7" s="9"/>
      <c r="X7" s="9"/>
      <c r="Y7" s="9"/>
      <c r="Z7" s="22"/>
      <c r="AA7" s="9">
        <v>4</v>
      </c>
      <c r="AB7" s="9">
        <v>2485</v>
      </c>
      <c r="AC7" s="9">
        <v>106</v>
      </c>
      <c r="AD7" s="14"/>
      <c r="AE7" s="22">
        <v>2.2800000000000001E-2</v>
      </c>
      <c r="AF7" s="9">
        <v>3</v>
      </c>
      <c r="AG7" s="9">
        <v>22704</v>
      </c>
      <c r="AH7" s="9">
        <v>864</v>
      </c>
      <c r="AI7" s="9">
        <v>186</v>
      </c>
      <c r="AJ7" s="22">
        <v>0.21510000000000001</v>
      </c>
      <c r="AK7" s="9"/>
      <c r="AL7" s="14"/>
      <c r="AM7" s="14"/>
      <c r="AN7" s="14"/>
      <c r="AO7" s="22"/>
      <c r="AP7" s="9"/>
      <c r="AQ7" s="9"/>
      <c r="AR7" s="9"/>
      <c r="AS7" s="9"/>
      <c r="AT7" s="22"/>
      <c r="AU7" s="9">
        <v>1</v>
      </c>
      <c r="AV7" s="9">
        <v>3609</v>
      </c>
      <c r="AW7" s="9">
        <v>2</v>
      </c>
      <c r="AX7" s="9">
        <v>13</v>
      </c>
      <c r="AY7" s="22">
        <v>2.81E-2</v>
      </c>
      <c r="AZ7" s="9">
        <v>14</v>
      </c>
      <c r="BA7" s="9">
        <v>199</v>
      </c>
      <c r="BB7" s="9">
        <v>138</v>
      </c>
      <c r="BC7" s="9">
        <v>1500</v>
      </c>
      <c r="BD7" s="22">
        <v>3.2000000000000002E-3</v>
      </c>
      <c r="BE7" s="9">
        <v>41</v>
      </c>
      <c r="BF7" s="9">
        <v>21540</v>
      </c>
      <c r="BG7" s="9">
        <v>550</v>
      </c>
      <c r="BH7" s="9">
        <v>4787</v>
      </c>
      <c r="BI7" s="40">
        <v>0.05</v>
      </c>
      <c r="BJ7" s="9">
        <v>5</v>
      </c>
      <c r="BK7" s="14">
        <v>11859.51</v>
      </c>
      <c r="BL7" s="14">
        <v>0.05</v>
      </c>
      <c r="BM7" s="14">
        <v>1041.81</v>
      </c>
      <c r="BN7" s="22">
        <v>0.06</v>
      </c>
      <c r="BO7" s="9"/>
      <c r="BP7" s="14"/>
      <c r="BQ7" s="14"/>
      <c r="BR7" s="14"/>
      <c r="BS7" s="22"/>
      <c r="BT7" s="9">
        <v>2</v>
      </c>
      <c r="BU7" s="14">
        <v>5.14</v>
      </c>
      <c r="BV7" s="14"/>
      <c r="BW7" s="14"/>
      <c r="BX7" s="22">
        <v>2.9999999999999997E-4</v>
      </c>
      <c r="BY7" s="9">
        <v>5</v>
      </c>
      <c r="BZ7" s="9">
        <v>73</v>
      </c>
      <c r="CA7" s="9">
        <v>31</v>
      </c>
      <c r="CB7" s="9"/>
      <c r="CC7" s="22">
        <v>2E-3</v>
      </c>
      <c r="CD7" s="9"/>
      <c r="CE7" s="14"/>
      <c r="CF7" s="14"/>
      <c r="CG7" s="14"/>
      <c r="CH7" s="22"/>
      <c r="CI7" s="9"/>
      <c r="CJ7" s="14"/>
      <c r="CK7" s="14"/>
      <c r="CL7" s="14"/>
      <c r="CM7" s="22"/>
      <c r="CN7" s="9">
        <v>2</v>
      </c>
      <c r="CO7" s="14"/>
      <c r="CP7" s="14"/>
      <c r="CQ7" s="14">
        <v>129.18</v>
      </c>
      <c r="CR7" s="22">
        <v>5.9999999999999995E-4</v>
      </c>
      <c r="CS7" s="9"/>
      <c r="CT7" s="14"/>
      <c r="CU7" s="14"/>
      <c r="CV7" s="14"/>
      <c r="CW7" s="22"/>
      <c r="CX7" s="9">
        <v>1</v>
      </c>
      <c r="CY7" s="14"/>
      <c r="CZ7" s="9">
        <v>1</v>
      </c>
      <c r="DA7" s="14"/>
      <c r="DB7" s="22">
        <v>2.0000000000000001E-4</v>
      </c>
      <c r="DC7" s="9">
        <v>20</v>
      </c>
      <c r="DD7" s="9">
        <v>6500</v>
      </c>
      <c r="DE7" s="9">
        <v>427</v>
      </c>
      <c r="DF7" s="9">
        <v>2010</v>
      </c>
      <c r="DG7" s="22">
        <v>2.58E-2</v>
      </c>
      <c r="DH7" s="9">
        <v>1</v>
      </c>
      <c r="DI7" s="14">
        <v>269.35000000000002</v>
      </c>
      <c r="DJ7" s="14">
        <v>59.16</v>
      </c>
      <c r="DK7" s="14"/>
      <c r="DL7" s="22">
        <v>1.7000000000000001E-2</v>
      </c>
      <c r="DM7" s="39">
        <v>14</v>
      </c>
      <c r="DN7" s="23">
        <v>51327.38</v>
      </c>
      <c r="DO7" s="23">
        <v>516.61</v>
      </c>
      <c r="DP7" s="23">
        <v>446.06</v>
      </c>
      <c r="DQ7" s="22">
        <v>0.16489999999999999</v>
      </c>
      <c r="DR7" s="9"/>
      <c r="DS7" s="14"/>
      <c r="DT7" s="14"/>
      <c r="DU7" s="14"/>
      <c r="DV7" s="14"/>
      <c r="DW7" s="9"/>
      <c r="DX7" s="14"/>
      <c r="DY7" s="14"/>
      <c r="DZ7" s="14"/>
      <c r="EA7" s="22"/>
      <c r="EB7" s="9">
        <v>34</v>
      </c>
      <c r="EC7" s="9">
        <v>13043</v>
      </c>
      <c r="ED7" s="9">
        <v>677</v>
      </c>
      <c r="EE7" s="9">
        <v>3462</v>
      </c>
      <c r="EF7" s="40">
        <v>0.05</v>
      </c>
      <c r="EG7" s="9">
        <v>15</v>
      </c>
      <c r="EH7" s="14">
        <v>2355.2199999999998</v>
      </c>
      <c r="EI7" s="14">
        <v>671.75</v>
      </c>
      <c r="EJ7" s="14">
        <v>7713.39</v>
      </c>
      <c r="EK7" s="22">
        <v>2.01E-2</v>
      </c>
      <c r="EL7" s="9"/>
      <c r="EM7" s="9">
        <v>8730.66</v>
      </c>
      <c r="EN7" s="9">
        <v>260.77999999999997</v>
      </c>
      <c r="EO7" s="9">
        <v>164.66</v>
      </c>
      <c r="EP7" s="22">
        <v>5.3900000000000003E-2</v>
      </c>
      <c r="EQ7" s="9">
        <v>9</v>
      </c>
      <c r="ER7" s="9"/>
      <c r="ES7" s="9">
        <v>1283</v>
      </c>
      <c r="ET7" s="9">
        <v>141</v>
      </c>
      <c r="EU7" s="22">
        <v>7.6E-3</v>
      </c>
      <c r="EV7" s="9">
        <v>51</v>
      </c>
      <c r="EW7" s="9">
        <v>25865</v>
      </c>
      <c r="EX7" s="9">
        <v>2100</v>
      </c>
      <c r="EY7" s="9">
        <v>6428</v>
      </c>
      <c r="EZ7" s="40">
        <v>0.24</v>
      </c>
    </row>
    <row r="8" spans="1:156" x14ac:dyDescent="0.25">
      <c r="A8" s="14" t="s">
        <v>149</v>
      </c>
      <c r="B8" s="9"/>
      <c r="C8" s="14"/>
      <c r="D8" s="14"/>
      <c r="E8" s="14"/>
      <c r="F8" s="22"/>
      <c r="G8" s="9">
        <v>2</v>
      </c>
      <c r="H8" s="14"/>
      <c r="I8" s="9">
        <v>362</v>
      </c>
      <c r="J8" s="14"/>
      <c r="K8" s="98">
        <v>0.01</v>
      </c>
      <c r="L8" s="9">
        <v>54</v>
      </c>
      <c r="M8" s="14">
        <v>139200.01</v>
      </c>
      <c r="N8" s="14">
        <v>5876.11</v>
      </c>
      <c r="O8" s="23">
        <v>79797.850000000006</v>
      </c>
      <c r="P8" s="22">
        <v>0.3765</v>
      </c>
      <c r="Q8" s="9">
        <v>133</v>
      </c>
      <c r="R8" s="14">
        <v>51100.639999999999</v>
      </c>
      <c r="S8" s="14">
        <v>2401.7800000000002</v>
      </c>
      <c r="T8" s="14">
        <v>15000.45</v>
      </c>
      <c r="U8" s="21">
        <v>0.12280000000000001</v>
      </c>
      <c r="V8" s="9"/>
      <c r="W8" s="9"/>
      <c r="X8" s="9"/>
      <c r="Y8" s="9"/>
      <c r="Z8" s="22"/>
      <c r="AA8" s="9">
        <v>72</v>
      </c>
      <c r="AB8" s="9">
        <v>7944</v>
      </c>
      <c r="AC8" s="9">
        <v>1225</v>
      </c>
      <c r="AD8" s="9">
        <v>8601</v>
      </c>
      <c r="AE8" s="22">
        <v>0.1565</v>
      </c>
      <c r="AF8" s="9">
        <v>76</v>
      </c>
      <c r="AG8" s="9">
        <v>55772</v>
      </c>
      <c r="AH8" s="9">
        <v>1351</v>
      </c>
      <c r="AI8" s="9">
        <v>5361</v>
      </c>
      <c r="AJ8" s="22">
        <v>0.56589999999999996</v>
      </c>
      <c r="AK8" s="9">
        <v>3</v>
      </c>
      <c r="AL8" s="9">
        <v>2646</v>
      </c>
      <c r="AM8" s="14"/>
      <c r="AN8" s="14"/>
      <c r="AO8" s="22">
        <v>0.17</v>
      </c>
      <c r="AP8" s="9">
        <v>3</v>
      </c>
      <c r="AQ8" s="9"/>
      <c r="AR8" s="9">
        <v>198.34</v>
      </c>
      <c r="AS8" s="9"/>
      <c r="AT8" s="22">
        <v>0.01</v>
      </c>
      <c r="AU8" s="9">
        <v>75</v>
      </c>
      <c r="AV8" s="9">
        <v>23288</v>
      </c>
      <c r="AW8" s="9">
        <v>2175</v>
      </c>
      <c r="AX8" s="9">
        <v>4578</v>
      </c>
      <c r="AY8" s="22">
        <v>0.23300000000000001</v>
      </c>
      <c r="AZ8" s="9">
        <v>115</v>
      </c>
      <c r="BA8" s="9">
        <v>34152</v>
      </c>
      <c r="BB8" s="9">
        <v>1762</v>
      </c>
      <c r="BC8" s="9">
        <v>11621</v>
      </c>
      <c r="BD8" s="22">
        <v>8.2100000000000006E-2</v>
      </c>
      <c r="BE8" s="9">
        <v>166</v>
      </c>
      <c r="BF8" s="9">
        <v>73263</v>
      </c>
      <c r="BG8" s="9">
        <v>11510</v>
      </c>
      <c r="BH8" s="9">
        <v>28954</v>
      </c>
      <c r="BI8" s="40">
        <v>0.23</v>
      </c>
      <c r="BJ8" s="9">
        <v>128</v>
      </c>
      <c r="BK8" s="14">
        <v>61201.63</v>
      </c>
      <c r="BL8" s="14">
        <v>4905.2299999999996</v>
      </c>
      <c r="BM8" s="14">
        <v>8426.07</v>
      </c>
      <c r="BN8" s="22">
        <v>0.34</v>
      </c>
      <c r="BO8" s="9"/>
      <c r="BP8" s="14"/>
      <c r="BQ8" s="14"/>
      <c r="BR8" s="14"/>
      <c r="BS8" s="22"/>
      <c r="BT8" s="9">
        <v>12</v>
      </c>
      <c r="BU8" s="14">
        <v>2110.4899999999998</v>
      </c>
      <c r="BV8" s="14">
        <v>948.76</v>
      </c>
      <c r="BW8" s="14">
        <v>11.39</v>
      </c>
      <c r="BX8" s="22">
        <v>0.17710000000000001</v>
      </c>
      <c r="BY8" s="9">
        <v>21</v>
      </c>
      <c r="BZ8" s="9">
        <v>7045</v>
      </c>
      <c r="CA8" s="9">
        <v>278</v>
      </c>
      <c r="CB8" s="9">
        <v>68</v>
      </c>
      <c r="CC8" s="22">
        <v>0.16900000000000001</v>
      </c>
      <c r="CD8" s="9"/>
      <c r="CE8" s="14"/>
      <c r="CF8" s="14"/>
      <c r="CG8" s="14"/>
      <c r="CH8" s="22"/>
      <c r="CI8" s="9"/>
      <c r="CJ8" s="14"/>
      <c r="CK8" s="14"/>
      <c r="CL8" s="14"/>
      <c r="CM8" s="22"/>
      <c r="CN8" s="9">
        <v>168</v>
      </c>
      <c r="CO8" s="14">
        <v>1207.43</v>
      </c>
      <c r="CP8" s="14">
        <v>5416.06</v>
      </c>
      <c r="CQ8" s="14">
        <v>4635.6099999999997</v>
      </c>
      <c r="CR8" s="22">
        <v>4.8099999999999997E-2</v>
      </c>
      <c r="CS8" s="9"/>
      <c r="CT8" s="14"/>
      <c r="CU8" s="14"/>
      <c r="CV8" s="14"/>
      <c r="CW8" s="22"/>
      <c r="CX8" s="9">
        <v>4</v>
      </c>
      <c r="CY8" s="14"/>
      <c r="CZ8" s="9">
        <v>3</v>
      </c>
      <c r="DA8" s="14"/>
      <c r="DB8" s="22">
        <v>5.9999999999999995E-4</v>
      </c>
      <c r="DC8" s="9">
        <v>115</v>
      </c>
      <c r="DD8" s="9">
        <v>43114</v>
      </c>
      <c r="DE8" s="9">
        <v>5089</v>
      </c>
      <c r="DF8" s="9">
        <v>8743</v>
      </c>
      <c r="DG8" s="22">
        <v>0.16450000000000001</v>
      </c>
      <c r="DH8" s="9">
        <v>12</v>
      </c>
      <c r="DI8" s="14">
        <v>1974.22</v>
      </c>
      <c r="DJ8" s="14">
        <v>468.43</v>
      </c>
      <c r="DK8" s="14">
        <v>86.28</v>
      </c>
      <c r="DL8" s="22">
        <v>0.13109999999999999</v>
      </c>
      <c r="DM8" s="39">
        <v>111</v>
      </c>
      <c r="DN8" s="23">
        <v>60526.27</v>
      </c>
      <c r="DO8" s="23">
        <v>3077.57</v>
      </c>
      <c r="DP8" s="23">
        <v>4359.38</v>
      </c>
      <c r="DQ8" s="22">
        <v>0.21440000000000001</v>
      </c>
      <c r="DR8" s="9">
        <v>9</v>
      </c>
      <c r="DS8" s="14">
        <v>1121.96</v>
      </c>
      <c r="DT8" s="14">
        <v>780.36</v>
      </c>
      <c r="DU8" s="14">
        <v>6.99</v>
      </c>
      <c r="DV8" s="22">
        <v>0.1404</v>
      </c>
      <c r="DW8" s="9"/>
      <c r="DX8" s="14"/>
      <c r="DY8" s="14"/>
      <c r="DZ8" s="14"/>
      <c r="EA8" s="22"/>
      <c r="EB8" s="9">
        <v>96</v>
      </c>
      <c r="EC8" s="9">
        <v>61603</v>
      </c>
      <c r="ED8" s="9">
        <v>3528</v>
      </c>
      <c r="EE8" s="9">
        <v>29962</v>
      </c>
      <c r="EF8" s="40">
        <v>0.27</v>
      </c>
      <c r="EG8" s="9">
        <v>214</v>
      </c>
      <c r="EH8" s="14">
        <v>21464.89</v>
      </c>
      <c r="EI8" s="14">
        <v>7404.97</v>
      </c>
      <c r="EJ8" s="14">
        <v>53083.54</v>
      </c>
      <c r="EK8" s="22">
        <v>0.15310000000000001</v>
      </c>
      <c r="EL8" s="9"/>
      <c r="EM8" s="9">
        <v>2153.2199999999998</v>
      </c>
      <c r="EN8" s="9">
        <v>7004.07</v>
      </c>
      <c r="EO8" s="9">
        <v>8522.0400000000009</v>
      </c>
      <c r="EP8" s="22">
        <v>0.1041</v>
      </c>
      <c r="EQ8" s="9">
        <v>110</v>
      </c>
      <c r="ER8" s="9">
        <v>2763</v>
      </c>
      <c r="ES8" s="9">
        <v>7741</v>
      </c>
      <c r="ET8" s="9">
        <v>6754</v>
      </c>
      <c r="EU8" s="22">
        <v>9.2100000000000001E-2</v>
      </c>
      <c r="EV8" s="9">
        <v>15</v>
      </c>
      <c r="EW8" s="9">
        <v>15689</v>
      </c>
      <c r="EX8" s="9">
        <v>2614</v>
      </c>
      <c r="EY8" s="9">
        <v>29</v>
      </c>
      <c r="EZ8" s="40">
        <v>0.13</v>
      </c>
    </row>
    <row r="9" spans="1:156" x14ac:dyDescent="0.25">
      <c r="A9" s="14" t="s">
        <v>150</v>
      </c>
      <c r="B9" s="9"/>
      <c r="C9" s="14"/>
      <c r="D9" s="14"/>
      <c r="E9" s="14"/>
      <c r="F9" s="22"/>
      <c r="G9" s="9"/>
      <c r="H9" s="14"/>
      <c r="I9" s="14"/>
      <c r="J9" s="14"/>
      <c r="K9" s="22"/>
      <c r="L9" s="9">
        <v>1</v>
      </c>
      <c r="M9" s="14">
        <v>4319.34</v>
      </c>
      <c r="N9" s="14">
        <v>126.67</v>
      </c>
      <c r="O9" s="21">
        <v>1083.98</v>
      </c>
      <c r="P9" s="22">
        <v>9.2999999999999992E-3</v>
      </c>
      <c r="Q9" s="9"/>
      <c r="R9" s="14"/>
      <c r="S9" s="14"/>
      <c r="T9" s="14"/>
      <c r="U9" s="22"/>
      <c r="V9" s="9"/>
      <c r="W9" s="14"/>
      <c r="X9" s="14"/>
      <c r="Y9" s="14"/>
      <c r="Z9" s="22"/>
      <c r="AA9" s="9">
        <v>1</v>
      </c>
      <c r="AB9" s="9">
        <v>3</v>
      </c>
      <c r="AC9" s="14"/>
      <c r="AD9" s="14"/>
      <c r="AE9" s="22"/>
      <c r="AF9" s="9">
        <v>1</v>
      </c>
      <c r="AG9" s="9">
        <v>3</v>
      </c>
      <c r="AH9" s="14"/>
      <c r="AI9" s="14"/>
      <c r="AJ9" s="22">
        <v>0</v>
      </c>
      <c r="AK9" s="9">
        <v>1</v>
      </c>
      <c r="AL9" s="9">
        <v>0</v>
      </c>
      <c r="AM9" s="14"/>
      <c r="AN9" s="14"/>
      <c r="AO9" s="22"/>
      <c r="AP9" s="9"/>
      <c r="AQ9" s="9"/>
      <c r="AR9" s="9"/>
      <c r="AS9" s="9"/>
      <c r="AT9" s="22"/>
      <c r="AU9" s="9">
        <v>16</v>
      </c>
      <c r="AV9" s="9">
        <v>3877</v>
      </c>
      <c r="AW9" s="9">
        <v>789</v>
      </c>
      <c r="AX9" s="9">
        <v>28</v>
      </c>
      <c r="AY9" s="22">
        <v>3.6400000000000002E-2</v>
      </c>
      <c r="AZ9" s="9">
        <v>6</v>
      </c>
      <c r="BA9" s="9">
        <v>94</v>
      </c>
      <c r="BB9" s="9"/>
      <c r="BC9" s="9">
        <v>18</v>
      </c>
      <c r="BD9" s="22">
        <v>2.0000000000000001E-4</v>
      </c>
      <c r="BE9" s="9">
        <v>3</v>
      </c>
      <c r="BF9" s="9">
        <v>40</v>
      </c>
      <c r="BG9" s="9">
        <v>1</v>
      </c>
      <c r="BH9" s="9">
        <v>89</v>
      </c>
      <c r="BI9" s="40"/>
      <c r="BJ9" s="9">
        <v>23</v>
      </c>
      <c r="BK9" s="14">
        <v>2684.12</v>
      </c>
      <c r="BL9" s="14">
        <v>521.38</v>
      </c>
      <c r="BM9" s="14">
        <v>93.76</v>
      </c>
      <c r="BN9" s="22">
        <v>0.01</v>
      </c>
      <c r="BO9" s="9">
        <v>1</v>
      </c>
      <c r="BP9" s="14"/>
      <c r="BQ9" s="14">
        <v>-1.49</v>
      </c>
      <c r="BR9" s="14"/>
      <c r="BS9" s="22"/>
      <c r="BT9" s="9"/>
      <c r="BU9" s="14"/>
      <c r="BV9" s="14"/>
      <c r="BW9" s="14"/>
      <c r="BX9" s="22"/>
      <c r="BY9" s="9">
        <v>5</v>
      </c>
      <c r="BZ9" s="9">
        <v>0</v>
      </c>
      <c r="CA9" s="9">
        <v>1</v>
      </c>
      <c r="CB9" s="14"/>
      <c r="CC9" s="22"/>
      <c r="CD9" s="9"/>
      <c r="CE9" s="14"/>
      <c r="CF9" s="14"/>
      <c r="CG9" s="14"/>
      <c r="CH9" s="22"/>
      <c r="CI9" s="9"/>
      <c r="CJ9" s="14"/>
      <c r="CK9" s="14"/>
      <c r="CL9" s="14"/>
      <c r="CM9" s="22"/>
      <c r="CN9" s="9">
        <v>20</v>
      </c>
      <c r="CO9" s="14">
        <v>1753.46</v>
      </c>
      <c r="CP9" s="14">
        <v>1602.96</v>
      </c>
      <c r="CQ9" s="14">
        <v>987.34</v>
      </c>
      <c r="CR9" s="22">
        <v>1.8599999999999998E-2</v>
      </c>
      <c r="CS9" s="9">
        <v>1</v>
      </c>
      <c r="CT9" s="14">
        <v>-9</v>
      </c>
      <c r="CU9" s="14"/>
      <c r="CV9" s="14"/>
      <c r="CW9" s="22">
        <v>-4.4999999999999997E-3</v>
      </c>
      <c r="CX9" s="9">
        <v>2</v>
      </c>
      <c r="CY9" s="14"/>
      <c r="CZ9" s="9">
        <v>187</v>
      </c>
      <c r="DA9" s="14"/>
      <c r="DB9" s="22">
        <v>3.1899999999999998E-2</v>
      </c>
      <c r="DC9" s="9">
        <v>8</v>
      </c>
      <c r="DD9" s="9">
        <v>10154</v>
      </c>
      <c r="DE9" s="9">
        <v>2338</v>
      </c>
      <c r="DF9" s="9">
        <v>815</v>
      </c>
      <c r="DG9" s="22">
        <v>3.8399999999999997E-2</v>
      </c>
      <c r="DH9" s="9">
        <v>6</v>
      </c>
      <c r="DI9" s="14">
        <v>512.64</v>
      </c>
      <c r="DJ9" s="14">
        <v>87.59</v>
      </c>
      <c r="DK9" s="14">
        <v>521.28</v>
      </c>
      <c r="DL9" s="22">
        <v>5.8099999999999999E-2</v>
      </c>
      <c r="DM9" s="39">
        <v>1</v>
      </c>
      <c r="DN9" s="23"/>
      <c r="DO9" s="23"/>
      <c r="DP9" s="23">
        <v>1.5</v>
      </c>
      <c r="DQ9" s="22">
        <v>0</v>
      </c>
      <c r="DR9" s="9">
        <v>5</v>
      </c>
      <c r="DS9" s="14">
        <v>291.45999999999998</v>
      </c>
      <c r="DT9" s="14">
        <v>119.66</v>
      </c>
      <c r="DU9" s="14"/>
      <c r="DV9" s="22">
        <v>3.0200000000000001E-2</v>
      </c>
      <c r="DW9" s="9"/>
      <c r="DX9" s="14"/>
      <c r="DY9" s="14"/>
      <c r="DZ9" s="14"/>
      <c r="EA9" s="22"/>
      <c r="EB9" s="9"/>
      <c r="EC9" s="9"/>
      <c r="ED9" s="9"/>
      <c r="EE9" s="9"/>
      <c r="EF9" s="22"/>
      <c r="EG9" s="9">
        <v>68</v>
      </c>
      <c r="EH9" s="14">
        <v>18937.18</v>
      </c>
      <c r="EI9" s="14">
        <v>6241.95</v>
      </c>
      <c r="EJ9" s="14">
        <v>15144.82</v>
      </c>
      <c r="EK9" s="22">
        <v>7.5300000000000006E-2</v>
      </c>
      <c r="EL9" s="9"/>
      <c r="EM9" s="9">
        <v>17.53</v>
      </c>
      <c r="EN9" s="9">
        <v>4.49</v>
      </c>
      <c r="EO9" s="9">
        <v>0</v>
      </c>
      <c r="EP9" s="22">
        <v>1E-4</v>
      </c>
      <c r="EQ9" s="9">
        <v>27</v>
      </c>
      <c r="ER9" s="9">
        <v>17779</v>
      </c>
      <c r="ES9" s="9">
        <v>3605</v>
      </c>
      <c r="ET9" s="9">
        <v>12511</v>
      </c>
      <c r="EU9" s="22">
        <v>0.18079999999999999</v>
      </c>
      <c r="EV9" s="9">
        <v>4</v>
      </c>
      <c r="EW9" s="9">
        <v>494</v>
      </c>
      <c r="EX9" s="9">
        <v>373</v>
      </c>
      <c r="EY9" s="9">
        <v>706</v>
      </c>
      <c r="EZ9" s="40">
        <v>0.01</v>
      </c>
    </row>
    <row r="10" spans="1:156" x14ac:dyDescent="0.25">
      <c r="A10" s="14" t="s">
        <v>151</v>
      </c>
      <c r="B10" s="9"/>
      <c r="C10" s="14"/>
      <c r="D10" s="14"/>
      <c r="E10" s="14"/>
      <c r="F10" s="22"/>
      <c r="G10" s="9"/>
      <c r="H10" s="14"/>
      <c r="I10" s="14"/>
      <c r="J10" s="14"/>
      <c r="K10" s="22"/>
      <c r="L10" s="9"/>
      <c r="M10" s="14"/>
      <c r="N10" s="14"/>
      <c r="O10" s="21"/>
      <c r="P10" s="14"/>
      <c r="Q10" s="9"/>
      <c r="R10" s="14"/>
      <c r="S10" s="14"/>
      <c r="T10" s="14"/>
      <c r="U10" s="22"/>
      <c r="V10" s="9"/>
      <c r="W10" s="14"/>
      <c r="X10" s="14"/>
      <c r="Y10" s="14"/>
      <c r="Z10" s="22"/>
      <c r="AA10" s="9"/>
      <c r="AB10" s="14"/>
      <c r="AC10" s="14"/>
      <c r="AD10" s="14"/>
      <c r="AE10" s="22"/>
      <c r="AF10" s="9">
        <v>1</v>
      </c>
      <c r="AG10" s="9">
        <v>12</v>
      </c>
      <c r="AH10" s="14"/>
      <c r="AI10" s="14"/>
      <c r="AJ10" s="22">
        <v>1E-4</v>
      </c>
      <c r="AK10" s="9">
        <v>1</v>
      </c>
      <c r="AL10" s="9">
        <v>1</v>
      </c>
      <c r="AM10" s="14"/>
      <c r="AN10" s="14"/>
      <c r="AO10" s="22"/>
      <c r="AP10" s="9"/>
      <c r="AQ10" s="9"/>
      <c r="AR10" s="14"/>
      <c r="AS10" s="14"/>
      <c r="AT10" s="22"/>
      <c r="AU10" s="9">
        <v>1</v>
      </c>
      <c r="AV10" s="14"/>
      <c r="AW10" s="14"/>
      <c r="AX10" s="14"/>
      <c r="AY10" s="22"/>
      <c r="AZ10" s="9"/>
      <c r="BA10" s="14"/>
      <c r="BB10" s="14"/>
      <c r="BC10" s="14"/>
      <c r="BD10" s="22"/>
      <c r="BE10" s="9">
        <v>9</v>
      </c>
      <c r="BF10" s="9">
        <v>66</v>
      </c>
      <c r="BG10" s="9">
        <v>-7</v>
      </c>
      <c r="BH10" s="9">
        <v>21</v>
      </c>
      <c r="BI10" s="40"/>
      <c r="BJ10" s="9">
        <v>1</v>
      </c>
      <c r="BK10" s="14">
        <v>248.29</v>
      </c>
      <c r="BL10" s="14">
        <v>46.79</v>
      </c>
      <c r="BM10" s="14"/>
      <c r="BN10" s="22"/>
      <c r="BO10" s="9"/>
      <c r="BP10" s="14"/>
      <c r="BQ10" s="14"/>
      <c r="BR10" s="14"/>
      <c r="BS10" s="22"/>
      <c r="BT10" s="9">
        <v>1</v>
      </c>
      <c r="BU10" s="14">
        <v>0.09</v>
      </c>
      <c r="BV10" s="14"/>
      <c r="BW10" s="14"/>
      <c r="BX10" s="22"/>
      <c r="BY10" s="9">
        <v>7</v>
      </c>
      <c r="BZ10" s="9">
        <v>1.1000000000000001</v>
      </c>
      <c r="CA10" s="14"/>
      <c r="CB10" s="14"/>
      <c r="CC10" s="22"/>
      <c r="CD10" s="9"/>
      <c r="CE10" s="14"/>
      <c r="CF10" s="14"/>
      <c r="CG10" s="14"/>
      <c r="CH10" s="22"/>
      <c r="CI10" s="9"/>
      <c r="CJ10" s="14"/>
      <c r="CK10" s="14"/>
      <c r="CL10" s="14"/>
      <c r="CM10" s="22"/>
      <c r="CN10" s="9">
        <v>76</v>
      </c>
      <c r="CO10" s="14">
        <v>10772.87</v>
      </c>
      <c r="CP10" s="14">
        <v>3955.52</v>
      </c>
      <c r="CQ10" s="14">
        <v>1435.9</v>
      </c>
      <c r="CR10" s="22">
        <v>6.9099999999999995E-2</v>
      </c>
      <c r="CS10" s="9"/>
      <c r="CT10" s="14"/>
      <c r="CU10" s="14"/>
      <c r="CV10" s="14"/>
      <c r="CW10" s="22"/>
      <c r="CX10" s="9"/>
      <c r="CY10" s="14"/>
      <c r="CZ10" s="14"/>
      <c r="DA10" s="14"/>
      <c r="DB10" s="22"/>
      <c r="DC10" s="9">
        <v>12</v>
      </c>
      <c r="DD10" s="9">
        <v>6948</v>
      </c>
      <c r="DE10" s="9">
        <v>877</v>
      </c>
      <c r="DF10" s="9">
        <v>642</v>
      </c>
      <c r="DG10" s="22">
        <v>2.4500000000000001E-2</v>
      </c>
      <c r="DH10" s="9"/>
      <c r="DI10" s="14"/>
      <c r="DJ10" s="14"/>
      <c r="DK10" s="14"/>
      <c r="DL10" s="22"/>
      <c r="DM10" s="39">
        <v>1</v>
      </c>
      <c r="DN10" s="23">
        <v>16.7</v>
      </c>
      <c r="DO10" s="23"/>
      <c r="DP10" s="23">
        <v>0.3</v>
      </c>
      <c r="DQ10" s="22">
        <v>1E-4</v>
      </c>
      <c r="DR10" s="9">
        <v>10</v>
      </c>
      <c r="DS10" s="14">
        <v>849.86</v>
      </c>
      <c r="DT10" s="14">
        <v>483.46</v>
      </c>
      <c r="DU10" s="14">
        <v>14.85</v>
      </c>
      <c r="DV10" s="22">
        <v>9.9099999999999994E-2</v>
      </c>
      <c r="DW10" s="9"/>
      <c r="DX10" s="14"/>
      <c r="DY10" s="14"/>
      <c r="DZ10" s="14"/>
      <c r="EA10" s="22"/>
      <c r="EB10" s="9">
        <v>2</v>
      </c>
      <c r="EC10" s="9">
        <v>28</v>
      </c>
      <c r="ED10" s="9"/>
      <c r="EE10" s="9"/>
      <c r="EF10" s="22"/>
      <c r="EG10" s="9">
        <v>23</v>
      </c>
      <c r="EH10" s="14">
        <v>6007.23</v>
      </c>
      <c r="EI10" s="14">
        <v>1504.56</v>
      </c>
      <c r="EJ10" s="14">
        <v>54.69</v>
      </c>
      <c r="EK10" s="22">
        <v>1.41E-2</v>
      </c>
      <c r="EL10" s="9"/>
      <c r="EM10" s="9">
        <v>3590.24</v>
      </c>
      <c r="EN10" s="9">
        <v>2634.25</v>
      </c>
      <c r="EO10" s="9">
        <v>400.09</v>
      </c>
      <c r="EP10" s="22">
        <v>3.9E-2</v>
      </c>
      <c r="EQ10" s="9">
        <v>29</v>
      </c>
      <c r="ER10" s="9">
        <v>920</v>
      </c>
      <c r="ES10" s="9">
        <v>645</v>
      </c>
      <c r="ET10" s="9">
        <v>396</v>
      </c>
      <c r="EU10" s="22">
        <v>1.0500000000000001E-2</v>
      </c>
      <c r="EV10" s="9">
        <v>6</v>
      </c>
      <c r="EW10" s="9">
        <v>310</v>
      </c>
      <c r="EX10" s="9">
        <v>21</v>
      </c>
      <c r="EY10" s="9">
        <v>395</v>
      </c>
      <c r="EZ10" s="40">
        <v>0.01</v>
      </c>
    </row>
    <row r="11" spans="1:156" s="27" customFormat="1" x14ac:dyDescent="0.25">
      <c r="A11" s="16" t="s">
        <v>251</v>
      </c>
      <c r="B11" s="19">
        <f>B6+B7+B8+B9+B10</f>
        <v>0</v>
      </c>
      <c r="C11" s="19">
        <f t="shared" ref="C11:BN11" si="0">C6+C7+C8+C9+C10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2</v>
      </c>
      <c r="H11" s="19">
        <f t="shared" si="0"/>
        <v>0</v>
      </c>
      <c r="I11" s="19">
        <f t="shared" si="0"/>
        <v>362</v>
      </c>
      <c r="J11" s="19">
        <f t="shared" si="0"/>
        <v>0</v>
      </c>
      <c r="K11" s="19">
        <f t="shared" si="0"/>
        <v>0.01</v>
      </c>
      <c r="L11" s="19">
        <f t="shared" si="0"/>
        <v>63</v>
      </c>
      <c r="M11" s="19">
        <f t="shared" si="0"/>
        <v>382041.64000000007</v>
      </c>
      <c r="N11" s="19">
        <f t="shared" si="0"/>
        <v>7084.87</v>
      </c>
      <c r="O11" s="19">
        <f t="shared" si="0"/>
        <v>83250.37</v>
      </c>
      <c r="P11" s="24">
        <f t="shared" si="0"/>
        <v>0.79100000000000004</v>
      </c>
      <c r="Q11" s="19">
        <f t="shared" si="0"/>
        <v>163</v>
      </c>
      <c r="R11" s="16">
        <f t="shared" si="0"/>
        <v>126871.73</v>
      </c>
      <c r="S11" s="19">
        <f t="shared" si="0"/>
        <v>2583.1400000000003</v>
      </c>
      <c r="T11" s="19">
        <f t="shared" si="0"/>
        <v>58171.850000000006</v>
      </c>
      <c r="U11" s="24">
        <f t="shared" si="0"/>
        <v>0.33629999999999999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41">
        <f t="shared" si="0"/>
        <v>0</v>
      </c>
      <c r="AA11" s="19">
        <f t="shared" si="0"/>
        <v>77</v>
      </c>
      <c r="AB11" s="19">
        <f t="shared" si="0"/>
        <v>10432</v>
      </c>
      <c r="AC11" s="19">
        <f t="shared" si="0"/>
        <v>1331</v>
      </c>
      <c r="AD11" s="19">
        <f t="shared" si="0"/>
        <v>8601</v>
      </c>
      <c r="AE11" s="24">
        <f t="shared" si="0"/>
        <v>0.17930000000000001</v>
      </c>
      <c r="AF11" s="19">
        <f t="shared" si="0"/>
        <v>81</v>
      </c>
      <c r="AG11" s="19">
        <f t="shared" si="0"/>
        <v>78491</v>
      </c>
      <c r="AH11" s="19">
        <f t="shared" si="0"/>
        <v>2215</v>
      </c>
      <c r="AI11" s="19">
        <f t="shared" si="0"/>
        <v>5547</v>
      </c>
      <c r="AJ11" s="41">
        <f t="shared" si="0"/>
        <v>0.78109999999999991</v>
      </c>
      <c r="AK11" s="19">
        <f t="shared" si="0"/>
        <v>5</v>
      </c>
      <c r="AL11" s="19">
        <f t="shared" si="0"/>
        <v>2647</v>
      </c>
      <c r="AM11" s="19">
        <f t="shared" si="0"/>
        <v>0</v>
      </c>
      <c r="AN11" s="19">
        <f t="shared" si="0"/>
        <v>0</v>
      </c>
      <c r="AO11" s="41">
        <f t="shared" si="0"/>
        <v>0.17</v>
      </c>
      <c r="AP11" s="19">
        <f t="shared" si="0"/>
        <v>3</v>
      </c>
      <c r="AQ11" s="19">
        <f t="shared" si="0"/>
        <v>0</v>
      </c>
      <c r="AR11" s="19">
        <f t="shared" si="0"/>
        <v>198.34</v>
      </c>
      <c r="AS11" s="19">
        <f t="shared" si="0"/>
        <v>0</v>
      </c>
      <c r="AT11" s="24">
        <f t="shared" si="0"/>
        <v>0.01</v>
      </c>
      <c r="AU11" s="19">
        <f t="shared" si="0"/>
        <v>93</v>
      </c>
      <c r="AV11" s="19">
        <f t="shared" si="0"/>
        <v>30774</v>
      </c>
      <c r="AW11" s="19">
        <f t="shared" si="0"/>
        <v>2966</v>
      </c>
      <c r="AX11" s="19">
        <f t="shared" si="0"/>
        <v>4619</v>
      </c>
      <c r="AY11" s="24">
        <f t="shared" si="0"/>
        <v>0.29749999999999999</v>
      </c>
      <c r="AZ11" s="19">
        <f t="shared" si="0"/>
        <v>135</v>
      </c>
      <c r="BA11" s="19">
        <f t="shared" si="0"/>
        <v>34445</v>
      </c>
      <c r="BB11" s="19">
        <f t="shared" si="0"/>
        <v>1900</v>
      </c>
      <c r="BC11" s="19">
        <f t="shared" si="0"/>
        <v>13139</v>
      </c>
      <c r="BD11" s="24">
        <f t="shared" si="0"/>
        <v>8.5500000000000007E-2</v>
      </c>
      <c r="BE11" s="19">
        <f t="shared" si="0"/>
        <v>219</v>
      </c>
      <c r="BF11" s="19">
        <f t="shared" si="0"/>
        <v>94909</v>
      </c>
      <c r="BG11" s="19">
        <f t="shared" si="0"/>
        <v>12054</v>
      </c>
      <c r="BH11" s="19">
        <f t="shared" si="0"/>
        <v>33851</v>
      </c>
      <c r="BI11" s="41">
        <f t="shared" si="0"/>
        <v>0.28000000000000003</v>
      </c>
      <c r="BJ11" s="19">
        <f t="shared" si="0"/>
        <v>157</v>
      </c>
      <c r="BK11" s="19">
        <f t="shared" si="0"/>
        <v>75993.549999999988</v>
      </c>
      <c r="BL11" s="19">
        <f t="shared" si="0"/>
        <v>5473.45</v>
      </c>
      <c r="BM11" s="19">
        <f t="shared" si="0"/>
        <v>9561.64</v>
      </c>
      <c r="BN11" s="41">
        <f t="shared" si="0"/>
        <v>0.41000000000000003</v>
      </c>
      <c r="BO11" s="19">
        <f t="shared" ref="BO11:DZ11" si="1">BO6+BO7+BO8+BO9+BO10</f>
        <v>1</v>
      </c>
      <c r="BP11" s="19">
        <f t="shared" si="1"/>
        <v>0</v>
      </c>
      <c r="BQ11" s="19">
        <f t="shared" si="1"/>
        <v>-1.49</v>
      </c>
      <c r="BR11" s="19">
        <f t="shared" si="1"/>
        <v>0</v>
      </c>
      <c r="BS11" s="19">
        <f t="shared" si="1"/>
        <v>0</v>
      </c>
      <c r="BT11" s="19">
        <f t="shared" si="1"/>
        <v>15</v>
      </c>
      <c r="BU11" s="19">
        <f t="shared" si="1"/>
        <v>2115.7199999999998</v>
      </c>
      <c r="BV11" s="19">
        <f t="shared" si="1"/>
        <v>948.76</v>
      </c>
      <c r="BW11" s="19">
        <f t="shared" si="1"/>
        <v>11.39</v>
      </c>
      <c r="BX11" s="24">
        <f t="shared" si="1"/>
        <v>0.1774</v>
      </c>
      <c r="BY11" s="19">
        <f t="shared" si="1"/>
        <v>38</v>
      </c>
      <c r="BZ11" s="19">
        <f t="shared" si="1"/>
        <v>7119.1</v>
      </c>
      <c r="CA11" s="19">
        <f t="shared" si="1"/>
        <v>310</v>
      </c>
      <c r="CB11" s="19">
        <f t="shared" si="1"/>
        <v>68</v>
      </c>
      <c r="CC11" s="19">
        <f t="shared" si="1"/>
        <v>0.17100000000000001</v>
      </c>
      <c r="CD11" s="19">
        <f t="shared" si="1"/>
        <v>0</v>
      </c>
      <c r="CE11" s="19">
        <f t="shared" si="1"/>
        <v>0</v>
      </c>
      <c r="CF11" s="19">
        <f t="shared" si="1"/>
        <v>0</v>
      </c>
      <c r="CG11" s="19">
        <f t="shared" si="1"/>
        <v>0</v>
      </c>
      <c r="CH11" s="19">
        <f t="shared" si="1"/>
        <v>0</v>
      </c>
      <c r="CI11" s="19">
        <f t="shared" si="1"/>
        <v>0</v>
      </c>
      <c r="CJ11" s="19">
        <f t="shared" si="1"/>
        <v>0</v>
      </c>
      <c r="CK11" s="19">
        <f t="shared" si="1"/>
        <v>0</v>
      </c>
      <c r="CL11" s="19">
        <f t="shared" si="1"/>
        <v>0</v>
      </c>
      <c r="CM11" s="19">
        <f t="shared" si="1"/>
        <v>0</v>
      </c>
      <c r="CN11" s="19">
        <f t="shared" si="1"/>
        <v>266</v>
      </c>
      <c r="CO11" s="19">
        <f t="shared" si="1"/>
        <v>13733.760000000002</v>
      </c>
      <c r="CP11" s="19">
        <f t="shared" si="1"/>
        <v>10974.54</v>
      </c>
      <c r="CQ11" s="19">
        <f t="shared" si="1"/>
        <v>7188.0300000000007</v>
      </c>
      <c r="CR11" s="24">
        <f t="shared" si="1"/>
        <v>0.13639999999999999</v>
      </c>
      <c r="CS11" s="19">
        <f t="shared" si="1"/>
        <v>1</v>
      </c>
      <c r="CT11" s="19">
        <f t="shared" si="1"/>
        <v>-9</v>
      </c>
      <c r="CU11" s="19">
        <f t="shared" si="1"/>
        <v>0</v>
      </c>
      <c r="CV11" s="19">
        <f t="shared" si="1"/>
        <v>0</v>
      </c>
      <c r="CW11" s="19">
        <f t="shared" si="1"/>
        <v>-4.4999999999999997E-3</v>
      </c>
      <c r="CX11" s="19">
        <f t="shared" si="1"/>
        <v>7</v>
      </c>
      <c r="CY11" s="19">
        <f t="shared" si="1"/>
        <v>0</v>
      </c>
      <c r="CZ11" s="16">
        <f t="shared" si="1"/>
        <v>191</v>
      </c>
      <c r="DA11" s="19">
        <f t="shared" si="1"/>
        <v>0</v>
      </c>
      <c r="DB11" s="24">
        <f t="shared" si="1"/>
        <v>3.27E-2</v>
      </c>
      <c r="DC11" s="19">
        <f t="shared" si="1"/>
        <v>155</v>
      </c>
      <c r="DD11" s="19">
        <f t="shared" si="1"/>
        <v>66716</v>
      </c>
      <c r="DE11" s="19">
        <f t="shared" si="1"/>
        <v>8731</v>
      </c>
      <c r="DF11" s="19">
        <f t="shared" si="1"/>
        <v>12210</v>
      </c>
      <c r="DG11" s="24">
        <f t="shared" si="1"/>
        <v>0.25319999999999998</v>
      </c>
      <c r="DH11" s="19">
        <f t="shared" si="1"/>
        <v>19</v>
      </c>
      <c r="DI11" s="16">
        <f t="shared" si="1"/>
        <v>2756.21</v>
      </c>
      <c r="DJ11" s="16">
        <f t="shared" si="1"/>
        <v>615.18000000000006</v>
      </c>
      <c r="DK11" s="16">
        <f t="shared" si="1"/>
        <v>607.55999999999995</v>
      </c>
      <c r="DL11" s="24">
        <f t="shared" si="1"/>
        <v>0.20619999999999999</v>
      </c>
      <c r="DM11" s="19">
        <f t="shared" si="1"/>
        <v>127</v>
      </c>
      <c r="DN11" s="16">
        <f t="shared" si="1"/>
        <v>111870.34999999999</v>
      </c>
      <c r="DO11" s="16">
        <f t="shared" si="1"/>
        <v>3594.1800000000003</v>
      </c>
      <c r="DP11" s="16">
        <f t="shared" si="1"/>
        <v>4807.2400000000007</v>
      </c>
      <c r="DQ11" s="24">
        <f t="shared" si="1"/>
        <v>0.37939999999999996</v>
      </c>
      <c r="DR11" s="19">
        <f t="shared" si="1"/>
        <v>24</v>
      </c>
      <c r="DS11" s="16">
        <f t="shared" si="1"/>
        <v>2263.2800000000002</v>
      </c>
      <c r="DT11" s="16">
        <f t="shared" si="1"/>
        <v>1383.48</v>
      </c>
      <c r="DU11" s="16">
        <f t="shared" si="1"/>
        <v>21.84</v>
      </c>
      <c r="DV11" s="24">
        <f t="shared" si="1"/>
        <v>0.2697</v>
      </c>
      <c r="DW11" s="19">
        <f t="shared" si="1"/>
        <v>0</v>
      </c>
      <c r="DX11" s="19">
        <f t="shared" si="1"/>
        <v>0</v>
      </c>
      <c r="DY11" s="19">
        <f t="shared" si="1"/>
        <v>0</v>
      </c>
      <c r="DZ11" s="19">
        <f t="shared" si="1"/>
        <v>0</v>
      </c>
      <c r="EA11" s="19">
        <f t="shared" ref="EA11:EZ11" si="2">EA6+EA7+EA8+EA9+EA10</f>
        <v>0</v>
      </c>
      <c r="EB11" s="19">
        <f t="shared" si="2"/>
        <v>134</v>
      </c>
      <c r="EC11" s="19">
        <f t="shared" si="2"/>
        <v>75189</v>
      </c>
      <c r="ED11" s="19">
        <f t="shared" si="2"/>
        <v>4252</v>
      </c>
      <c r="EE11" s="19">
        <f t="shared" si="2"/>
        <v>33992</v>
      </c>
      <c r="EF11" s="41">
        <f t="shared" si="2"/>
        <v>0.32</v>
      </c>
      <c r="EG11" s="19">
        <f t="shared" si="2"/>
        <v>320</v>
      </c>
      <c r="EH11" s="19">
        <f t="shared" si="2"/>
        <v>48764.520000000004</v>
      </c>
      <c r="EI11" s="19">
        <f t="shared" si="2"/>
        <v>15823.23</v>
      </c>
      <c r="EJ11" s="19">
        <f t="shared" si="2"/>
        <v>75996.44</v>
      </c>
      <c r="EK11" s="41">
        <f t="shared" si="2"/>
        <v>0.2626</v>
      </c>
      <c r="EL11" s="19">
        <f t="shared" si="2"/>
        <v>0</v>
      </c>
      <c r="EM11" s="19">
        <f t="shared" si="2"/>
        <v>14491.65</v>
      </c>
      <c r="EN11" s="19">
        <f t="shared" si="2"/>
        <v>9903.59</v>
      </c>
      <c r="EO11" s="19">
        <f t="shared" si="2"/>
        <v>9086.7900000000009</v>
      </c>
      <c r="EP11" s="24">
        <f t="shared" si="2"/>
        <v>0.1971</v>
      </c>
      <c r="EQ11" s="19">
        <f t="shared" si="2"/>
        <v>180</v>
      </c>
      <c r="ER11" s="19">
        <f t="shared" si="2"/>
        <v>21514</v>
      </c>
      <c r="ES11" s="19">
        <f t="shared" si="2"/>
        <v>13274</v>
      </c>
      <c r="ET11" s="19">
        <f t="shared" si="2"/>
        <v>20012</v>
      </c>
      <c r="EU11" s="24">
        <f t="shared" si="2"/>
        <v>0.29239999999999999</v>
      </c>
      <c r="EV11" s="19">
        <f t="shared" si="2"/>
        <v>76</v>
      </c>
      <c r="EW11" s="19">
        <f t="shared" si="2"/>
        <v>42358</v>
      </c>
      <c r="EX11" s="19">
        <f t="shared" si="2"/>
        <v>5108</v>
      </c>
      <c r="EY11" s="19">
        <f t="shared" si="2"/>
        <v>7558</v>
      </c>
      <c r="EZ11" s="41">
        <f t="shared" si="2"/>
        <v>0.39</v>
      </c>
    </row>
    <row r="12" spans="1:156" x14ac:dyDescent="0.25">
      <c r="A12" s="57" t="s">
        <v>252</v>
      </c>
      <c r="B12" s="9"/>
      <c r="C12" s="14"/>
      <c r="D12" s="14"/>
      <c r="E12" s="14"/>
      <c r="F12" s="22"/>
      <c r="G12" s="9"/>
      <c r="H12" s="14"/>
      <c r="I12" s="14"/>
      <c r="J12" s="14"/>
      <c r="K12" s="22"/>
      <c r="L12" s="9"/>
      <c r="M12" s="14"/>
      <c r="N12" s="14"/>
      <c r="O12" s="21"/>
      <c r="P12" s="14"/>
      <c r="Q12" s="9"/>
      <c r="R12" s="14"/>
      <c r="S12" s="14"/>
      <c r="T12" s="14"/>
      <c r="U12" s="22"/>
      <c r="V12" s="9"/>
      <c r="W12" s="14"/>
      <c r="X12" s="14"/>
      <c r="Y12" s="14"/>
      <c r="Z12" s="22"/>
      <c r="AA12" s="9"/>
      <c r="AB12" s="14"/>
      <c r="AC12" s="14"/>
      <c r="AD12" s="14"/>
      <c r="AE12" s="22"/>
      <c r="AF12" s="9"/>
      <c r="AG12" s="14"/>
      <c r="AH12" s="14"/>
      <c r="AI12" s="14"/>
      <c r="AJ12" s="22"/>
      <c r="AK12" s="9"/>
      <c r="AL12" s="14"/>
      <c r="AM12" s="14"/>
      <c r="AN12" s="14"/>
      <c r="AO12" s="22"/>
      <c r="AP12" s="9"/>
      <c r="AQ12" s="14"/>
      <c r="AR12" s="14"/>
      <c r="AS12" s="14"/>
      <c r="AT12" s="22"/>
      <c r="AU12" s="9"/>
      <c r="AV12" s="14"/>
      <c r="AW12" s="14"/>
      <c r="AX12" s="14"/>
      <c r="AY12" s="22"/>
      <c r="AZ12" s="9"/>
      <c r="BA12" s="14"/>
      <c r="BB12" s="14"/>
      <c r="BC12" s="14"/>
      <c r="BD12" s="22"/>
      <c r="BE12" s="9"/>
      <c r="BF12" s="14"/>
      <c r="BG12" s="14"/>
      <c r="BH12" s="14"/>
      <c r="BI12" s="22"/>
      <c r="BJ12" s="9"/>
      <c r="BK12" s="14"/>
      <c r="BL12" s="14"/>
      <c r="BM12" s="14"/>
      <c r="BN12" s="22"/>
      <c r="BO12" s="9"/>
      <c r="BP12" s="14"/>
      <c r="BQ12" s="14"/>
      <c r="BR12" s="14"/>
      <c r="BS12" s="22"/>
      <c r="BT12" s="9"/>
      <c r="BU12" s="14"/>
      <c r="BV12" s="14"/>
      <c r="BW12" s="14"/>
      <c r="BX12" s="22"/>
      <c r="BY12" s="9"/>
      <c r="BZ12" s="14"/>
      <c r="CA12" s="14"/>
      <c r="CB12" s="14"/>
      <c r="CC12" s="22"/>
      <c r="CD12" s="9"/>
      <c r="CE12" s="14"/>
      <c r="CF12" s="14"/>
      <c r="CG12" s="14"/>
      <c r="CH12" s="22"/>
      <c r="CI12" s="9"/>
      <c r="CJ12" s="14"/>
      <c r="CK12" s="14"/>
      <c r="CL12" s="14"/>
      <c r="CM12" s="22"/>
      <c r="CN12" s="9"/>
      <c r="CO12" s="14"/>
      <c r="CP12" s="14"/>
      <c r="CQ12" s="14"/>
      <c r="CR12" s="22"/>
      <c r="CS12" s="9"/>
      <c r="CT12" s="14"/>
      <c r="CU12" s="14"/>
      <c r="CV12" s="14"/>
      <c r="CW12" s="22"/>
      <c r="CX12" s="9"/>
      <c r="CY12" s="14"/>
      <c r="CZ12" s="14"/>
      <c r="DA12" s="14"/>
      <c r="DB12" s="22"/>
      <c r="DC12" s="9"/>
      <c r="DD12" s="14"/>
      <c r="DE12" s="14"/>
      <c r="DF12" s="14"/>
      <c r="DG12" s="23"/>
      <c r="DH12" s="9"/>
      <c r="DI12" s="14"/>
      <c r="DJ12" s="14"/>
      <c r="DK12" s="14"/>
      <c r="DL12" s="22"/>
      <c r="DM12" s="39"/>
      <c r="DN12" s="23"/>
      <c r="DO12" s="23"/>
      <c r="DP12" s="23"/>
      <c r="DQ12" s="22"/>
      <c r="DR12" s="9"/>
      <c r="DS12" s="14"/>
      <c r="DT12" s="14"/>
      <c r="DU12" s="14"/>
      <c r="DV12" s="22"/>
      <c r="DW12" s="9"/>
      <c r="DX12" s="14"/>
      <c r="DY12" s="14"/>
      <c r="DZ12" s="14"/>
      <c r="EA12" s="22"/>
      <c r="EB12" s="9"/>
      <c r="EC12" s="14"/>
      <c r="ED12" s="14"/>
      <c r="EE12" s="14"/>
      <c r="EF12" s="22"/>
      <c r="EG12" s="9"/>
      <c r="EH12" s="14"/>
      <c r="EI12" s="14"/>
      <c r="EJ12" s="14"/>
      <c r="EK12" s="22"/>
      <c r="EL12" s="14"/>
      <c r="EM12" s="14"/>
      <c r="EN12" s="14"/>
      <c r="EO12" s="14"/>
      <c r="EP12" s="22"/>
      <c r="EQ12" s="9"/>
      <c r="ER12" s="14"/>
      <c r="ES12" s="14"/>
      <c r="ET12" s="14"/>
      <c r="EU12" s="22"/>
      <c r="EV12" s="9"/>
      <c r="EW12" s="14"/>
      <c r="EX12" s="14"/>
      <c r="EY12" s="14"/>
      <c r="EZ12" s="22"/>
    </row>
    <row r="13" spans="1:156" x14ac:dyDescent="0.25">
      <c r="A13" s="15" t="s">
        <v>253</v>
      </c>
      <c r="B13" s="9"/>
      <c r="C13" s="14"/>
      <c r="D13" s="14"/>
      <c r="E13" s="14"/>
      <c r="F13" s="22"/>
      <c r="G13" s="9"/>
      <c r="H13" s="14"/>
      <c r="I13" s="14"/>
      <c r="J13" s="14"/>
      <c r="K13" s="22"/>
      <c r="L13" s="9">
        <v>1</v>
      </c>
      <c r="M13" s="14"/>
      <c r="N13" s="14">
        <v>382.64</v>
      </c>
      <c r="O13" s="14">
        <v>6002.15</v>
      </c>
      <c r="P13" s="22">
        <v>1.0699999999999999E-2</v>
      </c>
      <c r="Q13" s="9">
        <v>21</v>
      </c>
      <c r="R13">
        <v>0.09</v>
      </c>
      <c r="S13" s="14"/>
      <c r="T13" s="14">
        <v>16821.13</v>
      </c>
      <c r="U13" s="21">
        <v>3.0200000000000001E-2</v>
      </c>
      <c r="V13" s="9"/>
      <c r="W13" s="14"/>
      <c r="X13" s="14"/>
      <c r="Y13" s="14"/>
      <c r="Z13" s="22"/>
      <c r="AA13" s="9">
        <v>12</v>
      </c>
      <c r="AB13" s="14"/>
      <c r="AC13" s="14"/>
      <c r="AD13" s="9">
        <v>2592</v>
      </c>
      <c r="AE13" s="22">
        <v>2.2800000000000001E-2</v>
      </c>
      <c r="AF13" s="9">
        <v>6</v>
      </c>
      <c r="AG13" s="14"/>
      <c r="AH13" s="14"/>
      <c r="AI13" s="9">
        <v>1037</v>
      </c>
      <c r="AJ13" s="22">
        <v>9.4000000000000004E-3</v>
      </c>
      <c r="AK13" s="9">
        <v>3</v>
      </c>
      <c r="AL13" s="14"/>
      <c r="AM13" s="14"/>
      <c r="AN13" s="14"/>
      <c r="AO13" s="22"/>
      <c r="AP13" s="9">
        <v>5</v>
      </c>
      <c r="AQ13" s="9"/>
      <c r="AR13" s="14"/>
      <c r="AS13" s="9">
        <v>82.22</v>
      </c>
      <c r="AT13" s="22">
        <v>0.01</v>
      </c>
      <c r="AU13" s="9">
        <v>15</v>
      </c>
      <c r="AV13" s="9">
        <v>1987</v>
      </c>
      <c r="AW13" s="14"/>
      <c r="AX13" s="9">
        <v>816</v>
      </c>
      <c r="AY13" s="22">
        <v>2.1700000000000001E-2</v>
      </c>
      <c r="AZ13" s="9">
        <v>21</v>
      </c>
      <c r="BA13" s="14"/>
      <c r="BB13" s="9"/>
      <c r="BC13" s="9">
        <v>9084</v>
      </c>
      <c r="BD13" s="22">
        <v>1.5699999999999999E-2</v>
      </c>
      <c r="BE13" s="9">
        <v>21</v>
      </c>
      <c r="BF13" s="9"/>
      <c r="BG13" s="9"/>
      <c r="BH13" s="9">
        <v>30770</v>
      </c>
      <c r="BI13" s="40">
        <v>0.06</v>
      </c>
      <c r="BJ13" s="9">
        <v>14</v>
      </c>
      <c r="BK13" s="14">
        <v>9.6</v>
      </c>
      <c r="BL13" s="14"/>
      <c r="BM13" s="14">
        <v>6186.48</v>
      </c>
      <c r="BN13" s="22">
        <v>0.03</v>
      </c>
      <c r="BO13" s="9">
        <v>8</v>
      </c>
      <c r="BP13" s="9"/>
      <c r="BQ13" s="9"/>
      <c r="BR13" s="9">
        <v>110</v>
      </c>
      <c r="BS13" s="22">
        <v>5.0000000000000001E-3</v>
      </c>
      <c r="BT13" s="9"/>
      <c r="BU13" s="14"/>
      <c r="BV13" s="14"/>
      <c r="BW13" s="14"/>
      <c r="BX13" s="22"/>
      <c r="BY13" s="9">
        <v>5</v>
      </c>
      <c r="BZ13" s="14"/>
      <c r="CA13" s="14"/>
      <c r="CB13" s="9">
        <v>125</v>
      </c>
      <c r="CC13" s="22">
        <v>3.0000000000000001E-3</v>
      </c>
      <c r="CD13" s="9"/>
      <c r="CE13" s="14"/>
      <c r="CF13" s="14"/>
      <c r="CG13" s="14"/>
      <c r="CH13" s="22"/>
      <c r="CI13" s="9"/>
      <c r="CJ13" s="14"/>
      <c r="CK13" s="14"/>
      <c r="CL13" s="14"/>
      <c r="CM13" s="22"/>
      <c r="CN13" s="9">
        <v>24</v>
      </c>
      <c r="CO13" s="14">
        <v>266.56</v>
      </c>
      <c r="CP13" s="14"/>
      <c r="CQ13" s="14">
        <v>95946.97</v>
      </c>
      <c r="CR13" s="22">
        <v>0.41139999999999999</v>
      </c>
      <c r="CS13" s="9">
        <v>1</v>
      </c>
      <c r="CT13" s="14"/>
      <c r="CU13" s="14"/>
      <c r="CV13" s="9">
        <v>1358</v>
      </c>
      <c r="CW13" s="22">
        <v>0.68640000000000001</v>
      </c>
      <c r="CX13" s="9">
        <v>2</v>
      </c>
      <c r="CY13" s="14"/>
      <c r="CZ13" s="14"/>
      <c r="DA13" s="9">
        <v>8</v>
      </c>
      <c r="DB13" s="22">
        <v>1.4E-3</v>
      </c>
      <c r="DC13" s="9">
        <v>20</v>
      </c>
      <c r="DD13" s="9"/>
      <c r="DE13" s="9"/>
      <c r="DF13" s="9">
        <v>9805</v>
      </c>
      <c r="DG13" s="22">
        <v>0.03</v>
      </c>
      <c r="DH13" s="9">
        <v>7</v>
      </c>
      <c r="DI13" s="14"/>
      <c r="DJ13" s="14"/>
      <c r="DK13" s="14">
        <v>21.17</v>
      </c>
      <c r="DL13" s="22">
        <v>1.1000000000000001E-3</v>
      </c>
      <c r="DM13" s="39">
        <v>19</v>
      </c>
      <c r="DN13" s="23"/>
      <c r="DO13" s="23"/>
      <c r="DP13" s="23">
        <v>35840.699999999997</v>
      </c>
      <c r="DQ13" s="22">
        <v>0.113</v>
      </c>
      <c r="DR13" s="9">
        <v>5</v>
      </c>
      <c r="DS13" s="14"/>
      <c r="DT13" s="14"/>
      <c r="DU13" s="14">
        <v>67.44</v>
      </c>
      <c r="DV13" s="22">
        <v>5.0000000000000001E-3</v>
      </c>
      <c r="DW13" s="9"/>
      <c r="DX13" s="14"/>
      <c r="DY13" s="14"/>
      <c r="DZ13" s="14"/>
      <c r="EA13" s="22"/>
      <c r="EB13" s="9">
        <v>16</v>
      </c>
      <c r="EC13" s="9"/>
      <c r="ED13" s="9"/>
      <c r="EE13" s="9">
        <v>6480</v>
      </c>
      <c r="EF13" s="40">
        <v>0.02</v>
      </c>
      <c r="EG13" s="9">
        <v>20</v>
      </c>
      <c r="EH13" s="14">
        <v>1275.51</v>
      </c>
      <c r="EI13" s="14"/>
      <c r="EJ13" s="14">
        <v>70256.600000000006</v>
      </c>
      <c r="EK13" s="22">
        <v>0.13370000000000001</v>
      </c>
      <c r="EL13" s="9"/>
      <c r="EM13" s="9">
        <v>305.61</v>
      </c>
      <c r="EN13" s="14"/>
      <c r="EO13" s="9">
        <v>12772.92</v>
      </c>
      <c r="EP13" s="22">
        <v>7.6999999999999999E-2</v>
      </c>
      <c r="EQ13" s="9">
        <v>22</v>
      </c>
      <c r="ER13" s="9">
        <v>96989</v>
      </c>
      <c r="ES13" s="9">
        <v>15759</v>
      </c>
      <c r="ET13" s="9">
        <v>19902</v>
      </c>
      <c r="EU13" s="22">
        <v>0.7077</v>
      </c>
      <c r="EV13" s="9">
        <v>5</v>
      </c>
      <c r="EW13" s="14"/>
      <c r="EX13" s="9">
        <v>1007</v>
      </c>
      <c r="EY13" s="14"/>
      <c r="EZ13" s="40">
        <v>0.01</v>
      </c>
    </row>
    <row r="14" spans="1:156" x14ac:dyDescent="0.25">
      <c r="A14" s="15" t="s">
        <v>254</v>
      </c>
      <c r="B14" s="9">
        <v>1</v>
      </c>
      <c r="C14" s="9">
        <v>4395</v>
      </c>
      <c r="D14" s="9">
        <v>330</v>
      </c>
      <c r="E14" s="9"/>
      <c r="F14" s="22">
        <v>0.83399999999999996</v>
      </c>
      <c r="G14" s="9">
        <v>2</v>
      </c>
      <c r="H14" s="9">
        <v>24246</v>
      </c>
      <c r="I14" s="14"/>
      <c r="J14" s="14"/>
      <c r="K14" s="98">
        <v>0.75</v>
      </c>
      <c r="L14" s="9">
        <v>6</v>
      </c>
      <c r="M14" s="14">
        <v>52136.58</v>
      </c>
      <c r="N14" s="14">
        <v>2067.35</v>
      </c>
      <c r="O14" s="14">
        <v>20005.080000000002</v>
      </c>
      <c r="P14" s="22">
        <v>0.12429999999999999</v>
      </c>
      <c r="Q14" s="9">
        <v>8</v>
      </c>
      <c r="R14" s="14">
        <v>130344.56</v>
      </c>
      <c r="S14" s="14">
        <v>6310</v>
      </c>
      <c r="T14" s="14">
        <v>10104.450000000001</v>
      </c>
      <c r="U14" s="21">
        <v>0.2631</v>
      </c>
      <c r="V14" s="9">
        <v>1</v>
      </c>
      <c r="W14" s="9">
        <v>174</v>
      </c>
      <c r="X14" s="14"/>
      <c r="Y14" s="14"/>
      <c r="Z14" s="22">
        <v>3.7000000000000002E-3</v>
      </c>
      <c r="AA14" s="9">
        <v>7</v>
      </c>
      <c r="AB14" s="9">
        <v>58234</v>
      </c>
      <c r="AC14" s="9">
        <v>908</v>
      </c>
      <c r="AD14" s="9">
        <v>1108</v>
      </c>
      <c r="AE14" s="22">
        <v>0.53059999999999996</v>
      </c>
      <c r="AF14" s="9">
        <v>6</v>
      </c>
      <c r="AG14" s="9">
        <v>3522</v>
      </c>
      <c r="AH14" s="9">
        <v>292</v>
      </c>
      <c r="AI14" s="9">
        <v>1131</v>
      </c>
      <c r="AJ14" s="22">
        <v>4.48E-2</v>
      </c>
      <c r="AK14" s="9">
        <v>3</v>
      </c>
      <c r="AL14" s="9">
        <v>6404</v>
      </c>
      <c r="AM14" s="14"/>
      <c r="AN14" s="14"/>
      <c r="AO14" s="22">
        <v>0.41</v>
      </c>
      <c r="AP14" s="9">
        <v>3</v>
      </c>
      <c r="AQ14" s="9">
        <v>8368.65</v>
      </c>
      <c r="AR14" s="9"/>
      <c r="AS14" s="9"/>
      <c r="AT14" s="22">
        <v>0.6</v>
      </c>
      <c r="AU14" s="9">
        <v>11</v>
      </c>
      <c r="AV14" s="9">
        <v>26735</v>
      </c>
      <c r="AW14" s="9">
        <v>5358</v>
      </c>
      <c r="AX14" s="9">
        <v>533</v>
      </c>
      <c r="AY14" s="22">
        <v>0.25309999999999999</v>
      </c>
      <c r="AZ14" s="9">
        <v>9</v>
      </c>
      <c r="BA14" s="9">
        <v>341060</v>
      </c>
      <c r="BB14" s="9">
        <v>7318</v>
      </c>
      <c r="BC14" s="9">
        <v>25095</v>
      </c>
      <c r="BD14" s="22">
        <v>0.64510000000000001</v>
      </c>
      <c r="BE14" s="9">
        <v>9</v>
      </c>
      <c r="BF14" s="9">
        <v>125456</v>
      </c>
      <c r="BG14" s="9">
        <v>5704</v>
      </c>
      <c r="BH14" s="9">
        <v>10062</v>
      </c>
      <c r="BI14" s="40">
        <v>0.28999999999999998</v>
      </c>
      <c r="BJ14" s="9">
        <v>7</v>
      </c>
      <c r="BK14" s="14">
        <v>20094.8</v>
      </c>
      <c r="BL14" s="14">
        <v>2373.38</v>
      </c>
      <c r="BM14" s="14">
        <v>1923.84</v>
      </c>
      <c r="BN14" s="22">
        <v>0.11</v>
      </c>
      <c r="BO14" s="9">
        <v>3</v>
      </c>
      <c r="BP14" s="9">
        <v>9446</v>
      </c>
      <c r="BQ14" s="9">
        <v>225</v>
      </c>
      <c r="BR14" s="9">
        <v>9</v>
      </c>
      <c r="BS14" s="22">
        <v>0.56499999999999995</v>
      </c>
      <c r="BT14" s="9">
        <v>6</v>
      </c>
      <c r="BU14" s="14">
        <v>1172.3499999999999</v>
      </c>
      <c r="BV14" s="14">
        <v>903.16</v>
      </c>
      <c r="BW14" s="14">
        <v>47.17</v>
      </c>
      <c r="BX14" s="22">
        <v>0.12239999999999999</v>
      </c>
      <c r="BY14" s="9">
        <v>7</v>
      </c>
      <c r="BZ14" s="9">
        <v>16041</v>
      </c>
      <c r="CA14" s="9">
        <v>195</v>
      </c>
      <c r="CB14" s="9">
        <v>155</v>
      </c>
      <c r="CC14" s="22">
        <v>0.375</v>
      </c>
      <c r="CD14" s="9">
        <v>1</v>
      </c>
      <c r="CE14" s="14">
        <v>259.18</v>
      </c>
      <c r="CF14" s="14">
        <v>58.9</v>
      </c>
      <c r="CG14" s="14">
        <v>18.95</v>
      </c>
      <c r="CH14" s="22">
        <v>8.1199999999999994E-2</v>
      </c>
      <c r="CI14" s="9">
        <v>4</v>
      </c>
      <c r="CJ14" s="9">
        <v>42523</v>
      </c>
      <c r="CK14" s="9">
        <v>59</v>
      </c>
      <c r="CL14" s="14"/>
      <c r="CM14" s="40">
        <v>0.7</v>
      </c>
      <c r="CN14" s="9">
        <v>5</v>
      </c>
      <c r="CO14" s="14">
        <v>307.75</v>
      </c>
      <c r="CP14" s="14">
        <v>2937.75</v>
      </c>
      <c r="CQ14" s="14">
        <v>620.14</v>
      </c>
      <c r="CR14" s="22">
        <v>1.6500000000000001E-2</v>
      </c>
      <c r="CS14" s="9">
        <v>2</v>
      </c>
      <c r="CT14" s="9">
        <v>-4</v>
      </c>
      <c r="CU14" s="9"/>
      <c r="CV14" s="14"/>
      <c r="CW14" s="22">
        <v>-1.9E-3</v>
      </c>
      <c r="CX14" s="9">
        <v>4</v>
      </c>
      <c r="CY14" s="14"/>
      <c r="CZ14" s="9">
        <v>30</v>
      </c>
      <c r="DA14" s="9">
        <v>5</v>
      </c>
      <c r="DB14" s="22">
        <v>6.0000000000000001E-3</v>
      </c>
      <c r="DC14" s="9">
        <v>9</v>
      </c>
      <c r="DD14" s="9">
        <v>35443</v>
      </c>
      <c r="DE14" s="9">
        <v>1109</v>
      </c>
      <c r="DF14" s="9">
        <v>2072</v>
      </c>
      <c r="DG14" s="22">
        <v>0.11</v>
      </c>
      <c r="DH14" s="9">
        <v>3</v>
      </c>
      <c r="DI14" s="14">
        <v>7803.43</v>
      </c>
      <c r="DJ14" s="14">
        <v>487.15</v>
      </c>
      <c r="DK14" s="14">
        <v>0.6</v>
      </c>
      <c r="DL14" s="22">
        <v>0.42970000000000003</v>
      </c>
      <c r="DM14" s="39">
        <v>8</v>
      </c>
      <c r="DN14" s="23">
        <v>71393.52</v>
      </c>
      <c r="DO14" s="23">
        <v>3186.6</v>
      </c>
      <c r="DP14" s="23">
        <v>2580.04</v>
      </c>
      <c r="DQ14" s="22">
        <v>0.24340000000000001</v>
      </c>
      <c r="DR14" s="9">
        <v>3</v>
      </c>
      <c r="DS14" s="14">
        <v>64.510000000000005</v>
      </c>
      <c r="DT14" s="14">
        <v>50.44</v>
      </c>
      <c r="DU14" s="14"/>
      <c r="DV14" s="22">
        <v>8.5000000000000006E-3</v>
      </c>
      <c r="DW14" s="9">
        <v>3</v>
      </c>
      <c r="DX14" s="9"/>
      <c r="DY14" s="9">
        <v>6131</v>
      </c>
      <c r="DZ14" s="14"/>
      <c r="EA14" s="98">
        <v>0.14000000000000001</v>
      </c>
      <c r="EB14" s="9">
        <v>8</v>
      </c>
      <c r="EC14" s="9">
        <v>101827</v>
      </c>
      <c r="ED14" s="9">
        <v>6778</v>
      </c>
      <c r="EE14" s="9">
        <v>9629</v>
      </c>
      <c r="EF14" s="40">
        <v>0.34</v>
      </c>
      <c r="EG14" s="9">
        <v>8</v>
      </c>
      <c r="EH14" s="14">
        <v>2930.18</v>
      </c>
      <c r="EI14" s="14">
        <v>4343.3900000000003</v>
      </c>
      <c r="EJ14" s="14">
        <v>45917.71</v>
      </c>
      <c r="EK14" s="22">
        <v>9.9400000000000002E-2</v>
      </c>
      <c r="EL14" s="9"/>
      <c r="EM14" s="9">
        <v>1514.27</v>
      </c>
      <c r="EN14" s="9">
        <v>1669.62</v>
      </c>
      <c r="EO14" s="9">
        <v>2311.88</v>
      </c>
      <c r="EP14" s="22">
        <v>3.2399999999999998E-2</v>
      </c>
      <c r="EQ14" s="9"/>
      <c r="ER14" s="14"/>
      <c r="ES14" s="14"/>
      <c r="ET14" s="14"/>
      <c r="EU14" s="22"/>
      <c r="EV14" s="9">
        <v>10</v>
      </c>
      <c r="EW14" s="9">
        <v>27282</v>
      </c>
      <c r="EX14" s="9">
        <v>315</v>
      </c>
      <c r="EY14" s="9">
        <v>32</v>
      </c>
      <c r="EZ14" s="40">
        <v>0.19</v>
      </c>
    </row>
    <row r="15" spans="1:156" x14ac:dyDescent="0.25">
      <c r="A15" s="15" t="s">
        <v>255</v>
      </c>
      <c r="B15" s="9">
        <v>1</v>
      </c>
      <c r="C15" s="9">
        <v>23423</v>
      </c>
      <c r="D15" s="9">
        <v>330</v>
      </c>
      <c r="E15" s="9">
        <v>3</v>
      </c>
      <c r="F15" s="22">
        <v>0.16600000000000001</v>
      </c>
      <c r="G15" s="9">
        <v>1</v>
      </c>
      <c r="H15" s="9">
        <v>7541</v>
      </c>
      <c r="I15" s="9">
        <v>31</v>
      </c>
      <c r="J15" s="14"/>
      <c r="K15" s="98">
        <v>0.24</v>
      </c>
      <c r="L15" s="9">
        <v>1</v>
      </c>
      <c r="M15" s="14">
        <v>42949.4</v>
      </c>
      <c r="N15" s="14">
        <v>1293.8499999999999</v>
      </c>
      <c r="O15" s="21"/>
      <c r="P15" s="22">
        <v>7.4099999999999999E-2</v>
      </c>
      <c r="Q15" s="9">
        <v>1</v>
      </c>
      <c r="R15" s="14">
        <v>199031.73</v>
      </c>
      <c r="S15" s="14">
        <v>6625.42</v>
      </c>
      <c r="T15" s="14">
        <v>1021.52</v>
      </c>
      <c r="U15" s="21">
        <v>0.3705</v>
      </c>
      <c r="V15" s="9">
        <v>1</v>
      </c>
      <c r="W15" s="9">
        <v>45949</v>
      </c>
      <c r="X15" s="9">
        <v>416</v>
      </c>
      <c r="Y15" s="14"/>
      <c r="Z15" s="22">
        <v>0.99280000000000002</v>
      </c>
      <c r="AA15" s="9">
        <v>1</v>
      </c>
      <c r="AB15" s="9">
        <v>29042</v>
      </c>
      <c r="AC15" s="9">
        <v>1097</v>
      </c>
      <c r="AD15" s="9">
        <v>215</v>
      </c>
      <c r="AE15" s="22">
        <v>0.26729999999999998</v>
      </c>
      <c r="AF15" s="9">
        <v>1</v>
      </c>
      <c r="AG15" s="9">
        <v>18476</v>
      </c>
      <c r="AH15" s="9">
        <v>-317</v>
      </c>
      <c r="AI15" s="9">
        <v>24</v>
      </c>
      <c r="AJ15" s="22">
        <v>0.16470000000000001</v>
      </c>
      <c r="AK15" s="9">
        <v>1</v>
      </c>
      <c r="AL15" s="9">
        <v>6479</v>
      </c>
      <c r="AM15" s="14"/>
      <c r="AN15" s="14"/>
      <c r="AO15" s="22">
        <v>0.42</v>
      </c>
      <c r="AP15" s="9">
        <v>1</v>
      </c>
      <c r="AQ15" s="9">
        <v>4872.76</v>
      </c>
      <c r="AR15" s="9">
        <v>469.59</v>
      </c>
      <c r="AS15" s="9"/>
      <c r="AT15" s="22">
        <v>0.38</v>
      </c>
      <c r="AU15" s="9">
        <v>1</v>
      </c>
      <c r="AV15" s="9">
        <v>52129</v>
      </c>
      <c r="AW15" s="9">
        <v>2840</v>
      </c>
      <c r="AX15" s="9">
        <v>150</v>
      </c>
      <c r="AY15" s="22">
        <v>0.42759999999999998</v>
      </c>
      <c r="AZ15" s="9">
        <v>1</v>
      </c>
      <c r="BA15" s="9">
        <v>133197</v>
      </c>
      <c r="BB15" s="9">
        <v>5953</v>
      </c>
      <c r="BC15" s="9">
        <v>7776</v>
      </c>
      <c r="BD15" s="22">
        <v>0.25380000000000003</v>
      </c>
      <c r="BE15" s="9">
        <v>1</v>
      </c>
      <c r="BF15" s="9">
        <v>168492</v>
      </c>
      <c r="BG15" s="9">
        <v>7509</v>
      </c>
      <c r="BH15" s="9">
        <v>5180</v>
      </c>
      <c r="BI15" s="40">
        <v>0.37</v>
      </c>
      <c r="BJ15" s="9">
        <v>1</v>
      </c>
      <c r="BK15" s="14">
        <v>81292.259999999995</v>
      </c>
      <c r="BL15" s="14">
        <v>6992.78</v>
      </c>
      <c r="BM15" s="14">
        <v>11878.1</v>
      </c>
      <c r="BN15" s="22">
        <v>0.45</v>
      </c>
      <c r="BO15" s="9">
        <v>1</v>
      </c>
      <c r="BP15" s="9">
        <v>12814</v>
      </c>
      <c r="BQ15" s="9">
        <v>484</v>
      </c>
      <c r="BR15" s="9">
        <v>3</v>
      </c>
      <c r="BS15" s="22">
        <v>0.43</v>
      </c>
      <c r="BT15" s="9">
        <v>1</v>
      </c>
      <c r="BU15" s="14">
        <v>10964.43</v>
      </c>
      <c r="BV15" s="14">
        <v>1179.28</v>
      </c>
      <c r="BW15" s="14"/>
      <c r="BX15" s="22">
        <v>0.70020000000000004</v>
      </c>
      <c r="BY15" s="9">
        <v>1</v>
      </c>
      <c r="BZ15" s="9">
        <v>18557</v>
      </c>
      <c r="CA15" s="9">
        <v>645</v>
      </c>
      <c r="CB15" s="9">
        <v>492</v>
      </c>
      <c r="CC15" s="22">
        <v>0.45100000000000001</v>
      </c>
      <c r="CD15" s="9">
        <v>1</v>
      </c>
      <c r="CE15" s="14">
        <v>3769.25</v>
      </c>
      <c r="CF15" s="14">
        <v>42.37</v>
      </c>
      <c r="CG15" s="14"/>
      <c r="CH15" s="22">
        <v>0.91879999999999995</v>
      </c>
      <c r="CI15" s="9">
        <v>1</v>
      </c>
      <c r="CJ15" s="9">
        <v>18371</v>
      </c>
      <c r="CK15" s="9">
        <v>59</v>
      </c>
      <c r="CL15" s="14"/>
      <c r="CM15" s="40">
        <v>0.3</v>
      </c>
      <c r="CN15" s="9">
        <v>1</v>
      </c>
      <c r="CO15" s="14">
        <v>51040.2</v>
      </c>
      <c r="CP15" s="14">
        <v>10169.370000000001</v>
      </c>
      <c r="CQ15" s="14">
        <v>40661.629999999997</v>
      </c>
      <c r="CR15" s="22">
        <v>0.43559999999999999</v>
      </c>
      <c r="CS15" s="9">
        <v>1</v>
      </c>
      <c r="CT15" s="9">
        <v>217</v>
      </c>
      <c r="CU15" s="9">
        <v>416</v>
      </c>
      <c r="CV15" s="14"/>
      <c r="CW15" s="22">
        <v>0.32</v>
      </c>
      <c r="CX15" s="9">
        <v>1</v>
      </c>
      <c r="CY15" s="9">
        <v>3524</v>
      </c>
      <c r="CZ15" s="9">
        <v>1988</v>
      </c>
      <c r="DA15" s="9">
        <v>120</v>
      </c>
      <c r="DB15" s="22">
        <v>0.95979999999999999</v>
      </c>
      <c r="DC15" s="9">
        <v>1</v>
      </c>
      <c r="DD15" s="9">
        <v>195897</v>
      </c>
      <c r="DE15" s="9">
        <v>9057</v>
      </c>
      <c r="DF15" s="9">
        <v>5198</v>
      </c>
      <c r="DG15" s="22">
        <v>0.61</v>
      </c>
      <c r="DH15" s="9">
        <v>1</v>
      </c>
      <c r="DI15" s="14">
        <v>6667.96</v>
      </c>
      <c r="DJ15" s="14">
        <v>412.21</v>
      </c>
      <c r="DK15" s="14">
        <v>-76.8</v>
      </c>
      <c r="DL15" s="22">
        <v>0.36299999999999999</v>
      </c>
      <c r="DM15" s="39">
        <v>1</v>
      </c>
      <c r="DN15" s="23">
        <v>76989.81</v>
      </c>
      <c r="DO15" s="23">
        <v>6509.02</v>
      </c>
      <c r="DP15" s="23">
        <v>291.01</v>
      </c>
      <c r="DQ15" s="22">
        <v>0.26429999999999998</v>
      </c>
      <c r="DR15" s="9">
        <v>1</v>
      </c>
      <c r="DS15" s="14">
        <v>8588.99</v>
      </c>
      <c r="DT15" s="14">
        <v>1149.69</v>
      </c>
      <c r="DU15" s="14">
        <v>10.26</v>
      </c>
      <c r="DV15" s="22">
        <v>0.71679999999999999</v>
      </c>
      <c r="DW15" s="9">
        <v>1</v>
      </c>
      <c r="DX15" s="9">
        <v>34996</v>
      </c>
      <c r="DY15" s="9">
        <v>1555</v>
      </c>
      <c r="DZ15" s="14"/>
      <c r="EA15" s="98">
        <v>0.86</v>
      </c>
      <c r="EB15" s="9">
        <v>1</v>
      </c>
      <c r="EC15" s="9">
        <v>97981</v>
      </c>
      <c r="ED15" s="9">
        <v>2792</v>
      </c>
      <c r="EE15" s="9">
        <v>8824</v>
      </c>
      <c r="EF15" s="40">
        <v>0.32</v>
      </c>
      <c r="EG15" s="9">
        <v>1</v>
      </c>
      <c r="EH15" s="14">
        <v>181605.8</v>
      </c>
      <c r="EI15" s="14">
        <v>17587.150000000001</v>
      </c>
      <c r="EJ15" s="14">
        <v>48819.17</v>
      </c>
      <c r="EK15" s="22">
        <v>0.46339999999999998</v>
      </c>
      <c r="EL15" s="9"/>
      <c r="EM15" s="9">
        <v>76144.28</v>
      </c>
      <c r="EN15" s="9">
        <v>10450.57</v>
      </c>
      <c r="EO15" s="9">
        <v>16498.509999999998</v>
      </c>
      <c r="EP15" s="22">
        <v>0.60270000000000001</v>
      </c>
      <c r="EQ15" s="9"/>
      <c r="ER15" s="14"/>
      <c r="ES15" s="14"/>
      <c r="ET15" s="14"/>
      <c r="EU15" s="22"/>
      <c r="EV15" s="9">
        <v>1</v>
      </c>
      <c r="EW15" s="9">
        <v>58941</v>
      </c>
      <c r="EX15" s="9">
        <v>381</v>
      </c>
      <c r="EY15" s="9">
        <v>59</v>
      </c>
      <c r="EZ15" s="40">
        <v>0.42</v>
      </c>
    </row>
    <row r="16" spans="1:156" x14ac:dyDescent="0.25">
      <c r="A16" s="14" t="s">
        <v>31</v>
      </c>
      <c r="B16" s="9"/>
      <c r="C16" s="14"/>
      <c r="D16" s="14"/>
      <c r="E16" s="14"/>
      <c r="F16" s="22"/>
      <c r="G16" s="9"/>
      <c r="H16" s="14"/>
      <c r="I16" s="14"/>
      <c r="J16" s="14"/>
      <c r="K16" s="22"/>
      <c r="L16" s="9"/>
      <c r="M16" s="14"/>
      <c r="N16" s="14"/>
      <c r="O16" s="21"/>
      <c r="P16" s="14"/>
      <c r="Q16" s="9"/>
      <c r="R16" s="14"/>
      <c r="S16" s="14"/>
      <c r="T16" s="14"/>
      <c r="U16" s="22"/>
      <c r="V16" s="9"/>
      <c r="W16" s="14"/>
      <c r="X16" s="14"/>
      <c r="Y16" s="14"/>
      <c r="Z16" s="22"/>
      <c r="AA16" s="9"/>
      <c r="AB16" s="14"/>
      <c r="AC16" s="14"/>
      <c r="AD16" s="14"/>
      <c r="AE16" s="22"/>
      <c r="AF16" s="9">
        <v>1</v>
      </c>
      <c r="AG16" s="14"/>
      <c r="AH16" s="14"/>
      <c r="AI16" s="14"/>
      <c r="AJ16" s="22"/>
      <c r="AK16" s="9"/>
      <c r="AL16" s="14"/>
      <c r="AM16" s="14"/>
      <c r="AN16" s="14"/>
      <c r="AO16" s="22"/>
      <c r="AP16" s="9"/>
      <c r="AQ16" s="14"/>
      <c r="AR16" s="14"/>
      <c r="AS16" s="14"/>
      <c r="AT16" s="22"/>
      <c r="AU16" s="9"/>
      <c r="AV16" s="14"/>
      <c r="AW16" s="14"/>
      <c r="AX16" s="14"/>
      <c r="AY16" s="22"/>
      <c r="AZ16" s="9"/>
      <c r="BA16" s="14"/>
      <c r="BB16" s="14"/>
      <c r="BC16" s="14"/>
      <c r="BD16" s="22"/>
      <c r="BE16" s="9"/>
      <c r="BF16" s="14"/>
      <c r="BG16" s="14"/>
      <c r="BH16" s="14"/>
      <c r="BI16" s="22"/>
      <c r="BJ16" s="9"/>
      <c r="BK16" s="14"/>
      <c r="BL16" s="14"/>
      <c r="BM16" s="14"/>
      <c r="BN16" s="22"/>
      <c r="BO16" s="9"/>
      <c r="BP16" s="14"/>
      <c r="BQ16" s="14"/>
      <c r="BR16" s="14"/>
      <c r="BS16" s="22"/>
      <c r="BT16" s="9"/>
      <c r="BU16" s="14"/>
      <c r="BV16" s="14"/>
      <c r="BW16" s="14"/>
      <c r="BX16" s="22"/>
      <c r="BY16" s="9"/>
      <c r="BZ16" s="14"/>
      <c r="CA16" s="14"/>
      <c r="CB16" s="14"/>
      <c r="CC16" s="22"/>
      <c r="CD16" s="9"/>
      <c r="CE16" s="14"/>
      <c r="CF16" s="14"/>
      <c r="CG16" s="14"/>
      <c r="CH16" s="22"/>
      <c r="CI16" s="9"/>
      <c r="CJ16" s="14"/>
      <c r="CK16" s="14"/>
      <c r="CL16" s="14"/>
      <c r="CM16" s="22"/>
      <c r="CN16" s="9"/>
      <c r="CO16" s="14"/>
      <c r="CP16" s="14"/>
      <c r="CQ16" s="14"/>
      <c r="CR16" s="21"/>
      <c r="CS16" s="9"/>
      <c r="CT16" s="14"/>
      <c r="CU16" s="14"/>
      <c r="CV16" s="14"/>
      <c r="CW16" s="22"/>
      <c r="CX16" s="9"/>
      <c r="CY16" s="14"/>
      <c r="CZ16" s="14"/>
      <c r="DA16" s="14"/>
      <c r="DB16" s="22"/>
      <c r="DC16" s="9"/>
      <c r="DD16" s="14"/>
      <c r="DE16" s="14"/>
      <c r="DF16" s="14"/>
      <c r="DG16" s="22"/>
      <c r="DH16" s="9"/>
      <c r="DI16" s="14"/>
      <c r="DJ16" s="14"/>
      <c r="DK16" s="14"/>
      <c r="DL16" s="22"/>
      <c r="DM16" s="39"/>
      <c r="DN16" s="23"/>
      <c r="DO16" s="23"/>
      <c r="DP16" s="23"/>
      <c r="DQ16" s="22"/>
      <c r="DR16" s="9"/>
      <c r="DS16" s="14"/>
      <c r="DT16" s="14"/>
      <c r="DU16" s="14"/>
      <c r="DV16" s="14"/>
      <c r="DW16" s="9"/>
      <c r="DX16" s="14"/>
      <c r="DY16" s="14"/>
      <c r="DZ16" s="14"/>
      <c r="EA16" s="22"/>
      <c r="EB16" s="9"/>
      <c r="EC16" s="14"/>
      <c r="ED16" s="14"/>
      <c r="EE16" s="14"/>
      <c r="EF16" s="22"/>
      <c r="EG16" s="9">
        <v>3</v>
      </c>
      <c r="EH16" s="14">
        <v>21645.56</v>
      </c>
      <c r="EI16" s="14">
        <v>197.02</v>
      </c>
      <c r="EJ16" s="14"/>
      <c r="EK16" s="22">
        <v>4.0800000000000003E-2</v>
      </c>
      <c r="EL16" s="9"/>
      <c r="EM16" s="9">
        <f>1072.33+973.38+11889.54</f>
        <v>13935.25</v>
      </c>
      <c r="EN16" s="9">
        <f>601.34+87.5</f>
        <v>688.84</v>
      </c>
      <c r="EO16" s="63">
        <v>0.2</v>
      </c>
      <c r="EP16" s="22">
        <v>9.0800000000000006E-2</v>
      </c>
      <c r="EQ16" s="9"/>
      <c r="ER16" s="14"/>
      <c r="ES16" s="14"/>
      <c r="ET16" s="14"/>
      <c r="EU16" s="22"/>
      <c r="EV16" s="9"/>
      <c r="EW16" s="14"/>
      <c r="EX16" s="14"/>
      <c r="EY16" s="14"/>
      <c r="EZ16" s="22"/>
    </row>
    <row r="17" spans="1:156" s="27" customFormat="1" x14ac:dyDescent="0.25">
      <c r="A17" s="16" t="s">
        <v>256</v>
      </c>
      <c r="B17" s="58">
        <f t="shared" ref="B17:BM17" si="3">B13+B14+B15+B16</f>
        <v>2</v>
      </c>
      <c r="C17" s="51">
        <f t="shared" si="3"/>
        <v>27818</v>
      </c>
      <c r="D17" s="51">
        <f t="shared" si="3"/>
        <v>660</v>
      </c>
      <c r="E17" s="51">
        <f t="shared" si="3"/>
        <v>3</v>
      </c>
      <c r="F17" s="41">
        <f t="shared" si="3"/>
        <v>1</v>
      </c>
      <c r="G17" s="58">
        <f t="shared" si="3"/>
        <v>3</v>
      </c>
      <c r="H17" s="58">
        <f t="shared" si="3"/>
        <v>31787</v>
      </c>
      <c r="I17" s="58">
        <f t="shared" si="3"/>
        <v>31</v>
      </c>
      <c r="J17" s="58">
        <f t="shared" si="3"/>
        <v>0</v>
      </c>
      <c r="K17" s="41">
        <f t="shared" si="3"/>
        <v>0.99</v>
      </c>
      <c r="L17" s="58">
        <f t="shared" si="3"/>
        <v>8</v>
      </c>
      <c r="M17" s="58">
        <f t="shared" si="3"/>
        <v>95085.98000000001</v>
      </c>
      <c r="N17" s="58">
        <f t="shared" si="3"/>
        <v>3743.8399999999997</v>
      </c>
      <c r="O17" s="58">
        <f t="shared" si="3"/>
        <v>26007.230000000003</v>
      </c>
      <c r="P17" s="24">
        <f t="shared" si="3"/>
        <v>0.20909999999999998</v>
      </c>
      <c r="Q17" s="58">
        <f t="shared" si="3"/>
        <v>30</v>
      </c>
      <c r="R17" s="51">
        <f t="shared" si="3"/>
        <v>329376.38</v>
      </c>
      <c r="S17" s="51">
        <f t="shared" si="3"/>
        <v>12935.42</v>
      </c>
      <c r="T17" s="51">
        <f t="shared" si="3"/>
        <v>27947.100000000002</v>
      </c>
      <c r="U17" s="24">
        <f t="shared" si="3"/>
        <v>0.66379999999999995</v>
      </c>
      <c r="V17" s="58">
        <f t="shared" si="3"/>
        <v>2</v>
      </c>
      <c r="W17" s="58">
        <f t="shared" si="3"/>
        <v>46123</v>
      </c>
      <c r="X17" s="58">
        <f t="shared" si="3"/>
        <v>416</v>
      </c>
      <c r="Y17" s="58">
        <f t="shared" si="3"/>
        <v>0</v>
      </c>
      <c r="Z17" s="41">
        <f t="shared" si="3"/>
        <v>0.99650000000000005</v>
      </c>
      <c r="AA17" s="58">
        <f t="shared" si="3"/>
        <v>20</v>
      </c>
      <c r="AB17" s="58">
        <f t="shared" si="3"/>
        <v>87276</v>
      </c>
      <c r="AC17" s="58">
        <f t="shared" si="3"/>
        <v>2005</v>
      </c>
      <c r="AD17" s="58">
        <f t="shared" si="3"/>
        <v>3915</v>
      </c>
      <c r="AE17" s="24">
        <f t="shared" si="3"/>
        <v>0.82069999999999999</v>
      </c>
      <c r="AF17" s="58">
        <f t="shared" si="3"/>
        <v>14</v>
      </c>
      <c r="AG17" s="58">
        <f t="shared" si="3"/>
        <v>21998</v>
      </c>
      <c r="AH17" s="58">
        <f t="shared" si="3"/>
        <v>-25</v>
      </c>
      <c r="AI17" s="58">
        <f t="shared" si="3"/>
        <v>2192</v>
      </c>
      <c r="AJ17" s="41">
        <f t="shared" si="3"/>
        <v>0.21890000000000001</v>
      </c>
      <c r="AK17" s="58">
        <f t="shared" si="3"/>
        <v>7</v>
      </c>
      <c r="AL17" s="58">
        <f t="shared" si="3"/>
        <v>12883</v>
      </c>
      <c r="AM17" s="58">
        <f t="shared" si="3"/>
        <v>0</v>
      </c>
      <c r="AN17" s="58">
        <f t="shared" si="3"/>
        <v>0</v>
      </c>
      <c r="AO17" s="41">
        <f t="shared" si="3"/>
        <v>0.83</v>
      </c>
      <c r="AP17" s="58">
        <f t="shared" si="3"/>
        <v>9</v>
      </c>
      <c r="AQ17" s="58">
        <f t="shared" si="3"/>
        <v>13241.41</v>
      </c>
      <c r="AR17" s="58">
        <f t="shared" si="3"/>
        <v>469.59</v>
      </c>
      <c r="AS17" s="58">
        <f t="shared" si="3"/>
        <v>82.22</v>
      </c>
      <c r="AT17" s="24">
        <f t="shared" si="3"/>
        <v>0.99</v>
      </c>
      <c r="AU17" s="58">
        <f t="shared" si="3"/>
        <v>27</v>
      </c>
      <c r="AV17" s="58">
        <f t="shared" si="3"/>
        <v>80851</v>
      </c>
      <c r="AW17" s="58">
        <f t="shared" si="3"/>
        <v>8198</v>
      </c>
      <c r="AX17" s="58">
        <f t="shared" si="3"/>
        <v>1499</v>
      </c>
      <c r="AY17" s="24">
        <f t="shared" si="3"/>
        <v>0.70239999999999991</v>
      </c>
      <c r="AZ17" s="58">
        <f t="shared" si="3"/>
        <v>31</v>
      </c>
      <c r="BA17" s="58">
        <f t="shared" si="3"/>
        <v>474257</v>
      </c>
      <c r="BB17" s="58">
        <f t="shared" si="3"/>
        <v>13271</v>
      </c>
      <c r="BC17" s="58">
        <f t="shared" si="3"/>
        <v>41955</v>
      </c>
      <c r="BD17" s="24">
        <f t="shared" si="3"/>
        <v>0.91460000000000008</v>
      </c>
      <c r="BE17" s="58">
        <f t="shared" si="3"/>
        <v>31</v>
      </c>
      <c r="BF17" s="58">
        <f t="shared" si="3"/>
        <v>293948</v>
      </c>
      <c r="BG17" s="58">
        <f t="shared" si="3"/>
        <v>13213</v>
      </c>
      <c r="BH17" s="58">
        <f t="shared" si="3"/>
        <v>46012</v>
      </c>
      <c r="BI17" s="41">
        <f t="shared" si="3"/>
        <v>0.72</v>
      </c>
      <c r="BJ17" s="58">
        <f t="shared" si="3"/>
        <v>22</v>
      </c>
      <c r="BK17" s="58">
        <f t="shared" si="3"/>
        <v>101396.65999999999</v>
      </c>
      <c r="BL17" s="58">
        <f t="shared" si="3"/>
        <v>9366.16</v>
      </c>
      <c r="BM17" s="58">
        <f t="shared" si="3"/>
        <v>19988.419999999998</v>
      </c>
      <c r="BN17" s="41">
        <f t="shared" ref="BN17:DY17" si="4">BN13+BN14+BN15+BN16</f>
        <v>0.59000000000000008</v>
      </c>
      <c r="BO17" s="58">
        <f t="shared" si="4"/>
        <v>12</v>
      </c>
      <c r="BP17" s="58">
        <f t="shared" si="4"/>
        <v>22260</v>
      </c>
      <c r="BQ17" s="58">
        <f t="shared" si="4"/>
        <v>709</v>
      </c>
      <c r="BR17" s="58">
        <f t="shared" si="4"/>
        <v>122</v>
      </c>
      <c r="BS17" s="41">
        <f t="shared" si="4"/>
        <v>1</v>
      </c>
      <c r="BT17" s="58">
        <f t="shared" si="4"/>
        <v>7</v>
      </c>
      <c r="BU17" s="58">
        <f t="shared" si="4"/>
        <v>12136.78</v>
      </c>
      <c r="BV17" s="58">
        <f t="shared" si="4"/>
        <v>2082.44</v>
      </c>
      <c r="BW17" s="58">
        <f t="shared" si="4"/>
        <v>47.17</v>
      </c>
      <c r="BX17" s="24">
        <f t="shared" si="4"/>
        <v>0.8226</v>
      </c>
      <c r="BY17" s="58">
        <f t="shared" si="4"/>
        <v>13</v>
      </c>
      <c r="BZ17" s="58">
        <f t="shared" si="4"/>
        <v>34598</v>
      </c>
      <c r="CA17" s="58">
        <f t="shared" si="4"/>
        <v>840</v>
      </c>
      <c r="CB17" s="58">
        <f t="shared" si="4"/>
        <v>772</v>
      </c>
      <c r="CC17" s="41">
        <f t="shared" si="4"/>
        <v>0.82899999999999996</v>
      </c>
      <c r="CD17" s="58">
        <f t="shared" si="4"/>
        <v>2</v>
      </c>
      <c r="CE17" s="51">
        <f t="shared" si="4"/>
        <v>4028.43</v>
      </c>
      <c r="CF17" s="51">
        <f t="shared" si="4"/>
        <v>101.27</v>
      </c>
      <c r="CG17" s="51">
        <f t="shared" si="4"/>
        <v>18.95</v>
      </c>
      <c r="CH17" s="41">
        <f t="shared" si="4"/>
        <v>1</v>
      </c>
      <c r="CI17" s="58">
        <f t="shared" si="4"/>
        <v>5</v>
      </c>
      <c r="CJ17" s="58">
        <f t="shared" si="4"/>
        <v>60894</v>
      </c>
      <c r="CK17" s="58">
        <f t="shared" si="4"/>
        <v>118</v>
      </c>
      <c r="CL17" s="58">
        <f t="shared" si="4"/>
        <v>0</v>
      </c>
      <c r="CM17" s="41">
        <f t="shared" si="4"/>
        <v>1</v>
      </c>
      <c r="CN17" s="58">
        <f t="shared" si="4"/>
        <v>30</v>
      </c>
      <c r="CO17" s="58">
        <f t="shared" si="4"/>
        <v>51614.509999999995</v>
      </c>
      <c r="CP17" s="58">
        <f t="shared" si="4"/>
        <v>13107.12</v>
      </c>
      <c r="CQ17" s="58">
        <f t="shared" si="4"/>
        <v>137228.74</v>
      </c>
      <c r="CR17" s="24">
        <f t="shared" si="4"/>
        <v>0.86349999999999993</v>
      </c>
      <c r="CS17" s="58">
        <f t="shared" si="4"/>
        <v>4</v>
      </c>
      <c r="CT17" s="58">
        <f t="shared" si="4"/>
        <v>213</v>
      </c>
      <c r="CU17" s="58">
        <f t="shared" si="4"/>
        <v>416</v>
      </c>
      <c r="CV17" s="58">
        <f t="shared" si="4"/>
        <v>1358</v>
      </c>
      <c r="CW17" s="41">
        <f t="shared" si="4"/>
        <v>1.0044999999999999</v>
      </c>
      <c r="CX17" s="58">
        <f t="shared" si="4"/>
        <v>7</v>
      </c>
      <c r="CY17" s="51">
        <f t="shared" si="4"/>
        <v>3524</v>
      </c>
      <c r="CZ17" s="51">
        <f t="shared" si="4"/>
        <v>2018</v>
      </c>
      <c r="DA17" s="51">
        <f t="shared" si="4"/>
        <v>133</v>
      </c>
      <c r="DB17" s="24">
        <f t="shared" si="4"/>
        <v>0.96719999999999995</v>
      </c>
      <c r="DC17" s="58">
        <f t="shared" si="4"/>
        <v>30</v>
      </c>
      <c r="DD17" s="58">
        <f t="shared" si="4"/>
        <v>231340</v>
      </c>
      <c r="DE17" s="58">
        <f t="shared" si="4"/>
        <v>10166</v>
      </c>
      <c r="DF17" s="58">
        <f t="shared" si="4"/>
        <v>17075</v>
      </c>
      <c r="DG17" s="24">
        <f t="shared" si="4"/>
        <v>0.75</v>
      </c>
      <c r="DH17" s="58">
        <f t="shared" si="4"/>
        <v>11</v>
      </c>
      <c r="DI17" s="51">
        <f t="shared" si="4"/>
        <v>14471.39</v>
      </c>
      <c r="DJ17" s="51">
        <f t="shared" si="4"/>
        <v>899.3599999999999</v>
      </c>
      <c r="DK17" s="51">
        <f t="shared" si="4"/>
        <v>-55.029999999999994</v>
      </c>
      <c r="DL17" s="24">
        <f t="shared" si="4"/>
        <v>0.79380000000000006</v>
      </c>
      <c r="DM17" s="58">
        <f t="shared" si="4"/>
        <v>28</v>
      </c>
      <c r="DN17" s="51">
        <f t="shared" si="4"/>
        <v>148383.33000000002</v>
      </c>
      <c r="DO17" s="51">
        <f t="shared" si="4"/>
        <v>9695.6200000000008</v>
      </c>
      <c r="DP17" s="51">
        <f t="shared" si="4"/>
        <v>38711.75</v>
      </c>
      <c r="DQ17" s="24">
        <f t="shared" si="4"/>
        <v>0.62070000000000003</v>
      </c>
      <c r="DR17" s="58">
        <f t="shared" si="4"/>
        <v>9</v>
      </c>
      <c r="DS17" s="51">
        <f t="shared" si="4"/>
        <v>8653.5</v>
      </c>
      <c r="DT17" s="51">
        <f t="shared" si="4"/>
        <v>1200.1300000000001</v>
      </c>
      <c r="DU17" s="51">
        <f t="shared" si="4"/>
        <v>77.7</v>
      </c>
      <c r="DV17" s="24">
        <f t="shared" si="4"/>
        <v>0.73029999999999995</v>
      </c>
      <c r="DW17" s="58">
        <f t="shared" si="4"/>
        <v>4</v>
      </c>
      <c r="DX17" s="58">
        <f t="shared" si="4"/>
        <v>34996</v>
      </c>
      <c r="DY17" s="58">
        <f t="shared" si="4"/>
        <v>7686</v>
      </c>
      <c r="DZ17" s="58">
        <f t="shared" ref="DZ17:EY17" si="5">DZ13+DZ14+DZ15+DZ16</f>
        <v>0</v>
      </c>
      <c r="EA17" s="41">
        <f t="shared" si="5"/>
        <v>1</v>
      </c>
      <c r="EB17" s="58">
        <f t="shared" si="5"/>
        <v>25</v>
      </c>
      <c r="EC17" s="58">
        <f t="shared" si="5"/>
        <v>199808</v>
      </c>
      <c r="ED17" s="58">
        <f t="shared" si="5"/>
        <v>9570</v>
      </c>
      <c r="EE17" s="58">
        <f t="shared" si="5"/>
        <v>24933</v>
      </c>
      <c r="EF17" s="41">
        <f t="shared" si="5"/>
        <v>0.68</v>
      </c>
      <c r="EG17" s="58">
        <f t="shared" si="5"/>
        <v>32</v>
      </c>
      <c r="EH17" s="58">
        <f t="shared" si="5"/>
        <v>207457.05</v>
      </c>
      <c r="EI17" s="58">
        <f t="shared" si="5"/>
        <v>22127.56</v>
      </c>
      <c r="EJ17" s="58">
        <f t="shared" si="5"/>
        <v>164993.47999999998</v>
      </c>
      <c r="EK17" s="41">
        <f t="shared" si="5"/>
        <v>0.73730000000000007</v>
      </c>
      <c r="EL17" s="58">
        <f t="shared" si="5"/>
        <v>0</v>
      </c>
      <c r="EM17" s="58">
        <f t="shared" si="5"/>
        <v>91899.41</v>
      </c>
      <c r="EN17" s="58">
        <f t="shared" si="5"/>
        <v>12809.029999999999</v>
      </c>
      <c r="EO17" s="58">
        <f t="shared" si="5"/>
        <v>31583.51</v>
      </c>
      <c r="EP17" s="24">
        <f t="shared" si="5"/>
        <v>0.80289999999999995</v>
      </c>
      <c r="EQ17" s="58">
        <f t="shared" si="5"/>
        <v>22</v>
      </c>
      <c r="ER17" s="58">
        <f t="shared" si="5"/>
        <v>96989</v>
      </c>
      <c r="ES17" s="58">
        <f t="shared" si="5"/>
        <v>15759</v>
      </c>
      <c r="ET17" s="58">
        <f t="shared" si="5"/>
        <v>19902</v>
      </c>
      <c r="EU17" s="24">
        <f t="shared" si="5"/>
        <v>0.7077</v>
      </c>
      <c r="EV17" s="58">
        <f t="shared" si="5"/>
        <v>16</v>
      </c>
      <c r="EW17" s="58">
        <f t="shared" si="5"/>
        <v>86223</v>
      </c>
      <c r="EX17" s="58">
        <f t="shared" si="5"/>
        <v>1703</v>
      </c>
      <c r="EY17" s="58">
        <f t="shared" si="5"/>
        <v>91</v>
      </c>
      <c r="EZ17" s="41">
        <f>EZ13+EZ14+EZ15+EZ16</f>
        <v>0.62</v>
      </c>
    </row>
    <row r="18" spans="1:156" s="27" customFormat="1" x14ac:dyDescent="0.25">
      <c r="A18" s="16" t="s">
        <v>257</v>
      </c>
      <c r="B18" s="19">
        <f>B11+B17</f>
        <v>2</v>
      </c>
      <c r="C18" s="16">
        <f t="shared" ref="C18:BN18" si="6">C11+C17</f>
        <v>27818</v>
      </c>
      <c r="D18" s="16">
        <f t="shared" si="6"/>
        <v>660</v>
      </c>
      <c r="E18" s="16">
        <f t="shared" si="6"/>
        <v>3</v>
      </c>
      <c r="F18" s="41">
        <f t="shared" si="6"/>
        <v>1</v>
      </c>
      <c r="G18" s="19">
        <f t="shared" si="6"/>
        <v>5</v>
      </c>
      <c r="H18" s="19">
        <f t="shared" si="6"/>
        <v>31787</v>
      </c>
      <c r="I18" s="19">
        <f t="shared" si="6"/>
        <v>393</v>
      </c>
      <c r="J18" s="19">
        <f t="shared" si="6"/>
        <v>0</v>
      </c>
      <c r="K18" s="41">
        <f t="shared" si="6"/>
        <v>1</v>
      </c>
      <c r="L18" s="19">
        <f t="shared" si="6"/>
        <v>71</v>
      </c>
      <c r="M18" s="19">
        <f t="shared" si="6"/>
        <v>477127.62000000011</v>
      </c>
      <c r="N18" s="19">
        <f t="shared" si="6"/>
        <v>10828.71</v>
      </c>
      <c r="O18" s="19">
        <f t="shared" si="6"/>
        <v>109257.60000000001</v>
      </c>
      <c r="P18" s="41">
        <f t="shared" si="6"/>
        <v>1.0001</v>
      </c>
      <c r="Q18" s="19">
        <f t="shared" si="6"/>
        <v>193</v>
      </c>
      <c r="R18" s="16">
        <f t="shared" si="6"/>
        <v>456248.11</v>
      </c>
      <c r="S18" s="16">
        <f t="shared" si="6"/>
        <v>15518.560000000001</v>
      </c>
      <c r="T18" s="16">
        <f t="shared" si="6"/>
        <v>86118.950000000012</v>
      </c>
      <c r="U18" s="41">
        <f t="shared" si="6"/>
        <v>1.0001</v>
      </c>
      <c r="V18" s="19">
        <f t="shared" si="6"/>
        <v>2</v>
      </c>
      <c r="W18" s="19">
        <f t="shared" si="6"/>
        <v>46123</v>
      </c>
      <c r="X18" s="19">
        <f t="shared" si="6"/>
        <v>416</v>
      </c>
      <c r="Y18" s="19">
        <f t="shared" si="6"/>
        <v>0</v>
      </c>
      <c r="Z18" s="41">
        <f t="shared" si="6"/>
        <v>0.99650000000000005</v>
      </c>
      <c r="AA18" s="19">
        <f t="shared" si="6"/>
        <v>97</v>
      </c>
      <c r="AB18" s="19">
        <f t="shared" si="6"/>
        <v>97708</v>
      </c>
      <c r="AC18" s="19">
        <f t="shared" si="6"/>
        <v>3336</v>
      </c>
      <c r="AD18" s="19">
        <f t="shared" si="6"/>
        <v>12516</v>
      </c>
      <c r="AE18" s="41">
        <f t="shared" si="6"/>
        <v>1</v>
      </c>
      <c r="AF18" s="19">
        <f t="shared" si="6"/>
        <v>95</v>
      </c>
      <c r="AG18" s="19">
        <f t="shared" si="6"/>
        <v>100489</v>
      </c>
      <c r="AH18" s="19">
        <f t="shared" si="6"/>
        <v>2190</v>
      </c>
      <c r="AI18" s="19">
        <f t="shared" si="6"/>
        <v>7739</v>
      </c>
      <c r="AJ18" s="41">
        <f t="shared" si="6"/>
        <v>0.99999999999999989</v>
      </c>
      <c r="AK18" s="19">
        <f t="shared" si="6"/>
        <v>12</v>
      </c>
      <c r="AL18" s="19">
        <f t="shared" si="6"/>
        <v>15530</v>
      </c>
      <c r="AM18" s="19">
        <f t="shared" si="6"/>
        <v>0</v>
      </c>
      <c r="AN18" s="19">
        <f t="shared" si="6"/>
        <v>0</v>
      </c>
      <c r="AO18" s="41">
        <f t="shared" si="6"/>
        <v>1</v>
      </c>
      <c r="AP18" s="19">
        <f t="shared" si="6"/>
        <v>12</v>
      </c>
      <c r="AQ18" s="19">
        <f t="shared" si="6"/>
        <v>13241.41</v>
      </c>
      <c r="AR18" s="19">
        <f t="shared" si="6"/>
        <v>667.93</v>
      </c>
      <c r="AS18" s="19">
        <f t="shared" si="6"/>
        <v>82.22</v>
      </c>
      <c r="AT18" s="41">
        <f t="shared" si="6"/>
        <v>1</v>
      </c>
      <c r="AU18" s="19">
        <f t="shared" si="6"/>
        <v>120</v>
      </c>
      <c r="AV18" s="19">
        <f t="shared" si="6"/>
        <v>111625</v>
      </c>
      <c r="AW18" s="19">
        <f t="shared" si="6"/>
        <v>11164</v>
      </c>
      <c r="AX18" s="19">
        <f t="shared" si="6"/>
        <v>6118</v>
      </c>
      <c r="AY18" s="41">
        <f t="shared" si="6"/>
        <v>0.9998999999999999</v>
      </c>
      <c r="AZ18" s="19">
        <f t="shared" si="6"/>
        <v>166</v>
      </c>
      <c r="BA18" s="19">
        <f t="shared" si="6"/>
        <v>508702</v>
      </c>
      <c r="BB18" s="19">
        <f t="shared" si="6"/>
        <v>15171</v>
      </c>
      <c r="BC18" s="19">
        <f t="shared" si="6"/>
        <v>55094</v>
      </c>
      <c r="BD18" s="41">
        <f t="shared" si="6"/>
        <v>1.0001</v>
      </c>
      <c r="BE18" s="19">
        <f t="shared" si="6"/>
        <v>250</v>
      </c>
      <c r="BF18" s="19">
        <f t="shared" si="6"/>
        <v>388857</v>
      </c>
      <c r="BG18" s="19">
        <f t="shared" si="6"/>
        <v>25267</v>
      </c>
      <c r="BH18" s="19">
        <f t="shared" si="6"/>
        <v>79863</v>
      </c>
      <c r="BI18" s="41">
        <f t="shared" si="6"/>
        <v>1</v>
      </c>
      <c r="BJ18" s="19">
        <f t="shared" si="6"/>
        <v>179</v>
      </c>
      <c r="BK18" s="19">
        <f t="shared" si="6"/>
        <v>177390.20999999996</v>
      </c>
      <c r="BL18" s="19">
        <f t="shared" si="6"/>
        <v>14839.61</v>
      </c>
      <c r="BM18" s="19">
        <f t="shared" si="6"/>
        <v>29550.059999999998</v>
      </c>
      <c r="BN18" s="41">
        <f t="shared" si="6"/>
        <v>1</v>
      </c>
      <c r="BO18" s="19">
        <f t="shared" ref="BO18:DZ18" si="7">BO11+BO17</f>
        <v>13</v>
      </c>
      <c r="BP18" s="19">
        <f t="shared" si="7"/>
        <v>22260</v>
      </c>
      <c r="BQ18" s="19">
        <f t="shared" si="7"/>
        <v>707.51</v>
      </c>
      <c r="BR18" s="19">
        <f t="shared" si="7"/>
        <v>122</v>
      </c>
      <c r="BS18" s="41">
        <f t="shared" si="7"/>
        <v>1</v>
      </c>
      <c r="BT18" s="19">
        <f t="shared" si="7"/>
        <v>22</v>
      </c>
      <c r="BU18" s="19">
        <f t="shared" si="7"/>
        <v>14252.5</v>
      </c>
      <c r="BV18" s="19">
        <f t="shared" si="7"/>
        <v>3031.2</v>
      </c>
      <c r="BW18" s="19">
        <f t="shared" si="7"/>
        <v>58.56</v>
      </c>
      <c r="BX18" s="41">
        <f t="shared" si="7"/>
        <v>1</v>
      </c>
      <c r="BY18" s="19">
        <f t="shared" si="7"/>
        <v>51</v>
      </c>
      <c r="BZ18" s="19">
        <f t="shared" si="7"/>
        <v>41717.1</v>
      </c>
      <c r="CA18" s="19">
        <f t="shared" si="7"/>
        <v>1150</v>
      </c>
      <c r="CB18" s="19">
        <f t="shared" si="7"/>
        <v>840</v>
      </c>
      <c r="CC18" s="41">
        <f t="shared" si="7"/>
        <v>1</v>
      </c>
      <c r="CD18" s="19">
        <f t="shared" si="7"/>
        <v>2</v>
      </c>
      <c r="CE18" s="16">
        <f t="shared" si="7"/>
        <v>4028.43</v>
      </c>
      <c r="CF18" s="16">
        <f t="shared" si="7"/>
        <v>101.27</v>
      </c>
      <c r="CG18" s="16">
        <f t="shared" si="7"/>
        <v>18.95</v>
      </c>
      <c r="CH18" s="41">
        <f t="shared" si="7"/>
        <v>1</v>
      </c>
      <c r="CI18" s="19">
        <f t="shared" si="7"/>
        <v>5</v>
      </c>
      <c r="CJ18" s="19">
        <f t="shared" si="7"/>
        <v>60894</v>
      </c>
      <c r="CK18" s="19">
        <f t="shared" si="7"/>
        <v>118</v>
      </c>
      <c r="CL18" s="19">
        <f t="shared" si="7"/>
        <v>0</v>
      </c>
      <c r="CM18" s="41">
        <f t="shared" si="7"/>
        <v>1</v>
      </c>
      <c r="CN18" s="19">
        <f t="shared" si="7"/>
        <v>296</v>
      </c>
      <c r="CO18" s="19">
        <f t="shared" si="7"/>
        <v>65348.27</v>
      </c>
      <c r="CP18" s="19">
        <f t="shared" si="7"/>
        <v>24081.660000000003</v>
      </c>
      <c r="CQ18" s="19">
        <f t="shared" si="7"/>
        <v>144416.76999999999</v>
      </c>
      <c r="CR18" s="41">
        <f t="shared" si="7"/>
        <v>0.9998999999999999</v>
      </c>
      <c r="CS18" s="19">
        <f t="shared" si="7"/>
        <v>5</v>
      </c>
      <c r="CT18" s="19">
        <f t="shared" si="7"/>
        <v>204</v>
      </c>
      <c r="CU18" s="19">
        <f t="shared" si="7"/>
        <v>416</v>
      </c>
      <c r="CV18" s="19">
        <f t="shared" si="7"/>
        <v>1358</v>
      </c>
      <c r="CW18" s="41">
        <f t="shared" si="7"/>
        <v>1</v>
      </c>
      <c r="CX18" s="19">
        <f t="shared" si="7"/>
        <v>14</v>
      </c>
      <c r="CY18" s="16">
        <f t="shared" si="7"/>
        <v>3524</v>
      </c>
      <c r="CZ18" s="16">
        <f t="shared" si="7"/>
        <v>2209</v>
      </c>
      <c r="DA18" s="16">
        <f t="shared" si="7"/>
        <v>133</v>
      </c>
      <c r="DB18" s="41">
        <f t="shared" si="7"/>
        <v>0.9998999999999999</v>
      </c>
      <c r="DC18" s="19">
        <f t="shared" si="7"/>
        <v>185</v>
      </c>
      <c r="DD18" s="19">
        <f t="shared" si="7"/>
        <v>298056</v>
      </c>
      <c r="DE18" s="19">
        <f t="shared" si="7"/>
        <v>18897</v>
      </c>
      <c r="DF18" s="19">
        <f t="shared" si="7"/>
        <v>29285</v>
      </c>
      <c r="DG18" s="41">
        <f t="shared" si="7"/>
        <v>1.0032000000000001</v>
      </c>
      <c r="DH18" s="19">
        <f t="shared" si="7"/>
        <v>30</v>
      </c>
      <c r="DI18" s="16">
        <f t="shared" si="7"/>
        <v>17227.599999999999</v>
      </c>
      <c r="DJ18" s="16">
        <f t="shared" si="7"/>
        <v>1514.54</v>
      </c>
      <c r="DK18" s="16">
        <f t="shared" si="7"/>
        <v>552.53</v>
      </c>
      <c r="DL18" s="41">
        <f t="shared" si="7"/>
        <v>1</v>
      </c>
      <c r="DM18" s="19">
        <f t="shared" si="7"/>
        <v>155</v>
      </c>
      <c r="DN18" s="16">
        <f t="shared" si="7"/>
        <v>260253.68</v>
      </c>
      <c r="DO18" s="16">
        <f t="shared" si="7"/>
        <v>13289.800000000001</v>
      </c>
      <c r="DP18" s="16">
        <f t="shared" si="7"/>
        <v>43518.99</v>
      </c>
      <c r="DQ18" s="41">
        <f t="shared" si="7"/>
        <v>1.0001</v>
      </c>
      <c r="DR18" s="19">
        <f t="shared" si="7"/>
        <v>33</v>
      </c>
      <c r="DS18" s="16">
        <f t="shared" si="7"/>
        <v>10916.78</v>
      </c>
      <c r="DT18" s="16">
        <f t="shared" si="7"/>
        <v>2583.61</v>
      </c>
      <c r="DU18" s="16">
        <f t="shared" si="7"/>
        <v>99.54</v>
      </c>
      <c r="DV18" s="41">
        <f t="shared" si="7"/>
        <v>1</v>
      </c>
      <c r="DW18" s="19">
        <f t="shared" si="7"/>
        <v>4</v>
      </c>
      <c r="DX18" s="19">
        <f t="shared" si="7"/>
        <v>34996</v>
      </c>
      <c r="DY18" s="19">
        <f t="shared" si="7"/>
        <v>7686</v>
      </c>
      <c r="DZ18" s="19">
        <f t="shared" si="7"/>
        <v>0</v>
      </c>
      <c r="EA18" s="41">
        <f t="shared" ref="EA18:EZ18" si="8">EA11+EA17</f>
        <v>1</v>
      </c>
      <c r="EB18" s="19">
        <f t="shared" si="8"/>
        <v>159</v>
      </c>
      <c r="EC18" s="19">
        <f t="shared" si="8"/>
        <v>274997</v>
      </c>
      <c r="ED18" s="19">
        <f t="shared" si="8"/>
        <v>13822</v>
      </c>
      <c r="EE18" s="19">
        <f t="shared" si="8"/>
        <v>58925</v>
      </c>
      <c r="EF18" s="41">
        <f t="shared" si="8"/>
        <v>1</v>
      </c>
      <c r="EG18" s="19">
        <f t="shared" si="8"/>
        <v>352</v>
      </c>
      <c r="EH18" s="19">
        <f t="shared" si="8"/>
        <v>256221.57</v>
      </c>
      <c r="EI18" s="19">
        <f t="shared" si="8"/>
        <v>37950.79</v>
      </c>
      <c r="EJ18" s="19">
        <f t="shared" si="8"/>
        <v>240989.91999999998</v>
      </c>
      <c r="EK18" s="41">
        <f t="shared" si="8"/>
        <v>0.99990000000000001</v>
      </c>
      <c r="EL18" s="19">
        <f t="shared" si="8"/>
        <v>0</v>
      </c>
      <c r="EM18" s="19">
        <f t="shared" si="8"/>
        <v>106391.06</v>
      </c>
      <c r="EN18" s="19">
        <f t="shared" si="8"/>
        <v>22712.62</v>
      </c>
      <c r="EO18" s="19">
        <f t="shared" si="8"/>
        <v>40670.300000000003</v>
      </c>
      <c r="EP18" s="24">
        <f t="shared" si="8"/>
        <v>1</v>
      </c>
      <c r="EQ18" s="19">
        <f t="shared" si="8"/>
        <v>202</v>
      </c>
      <c r="ER18" s="19">
        <f t="shared" si="8"/>
        <v>118503</v>
      </c>
      <c r="ES18" s="19">
        <f t="shared" si="8"/>
        <v>29033</v>
      </c>
      <c r="ET18" s="19">
        <f t="shared" si="8"/>
        <v>39914</v>
      </c>
      <c r="EU18" s="24">
        <f t="shared" si="8"/>
        <v>1.0001</v>
      </c>
      <c r="EV18" s="19">
        <f t="shared" si="8"/>
        <v>92</v>
      </c>
      <c r="EW18" s="19">
        <f t="shared" si="8"/>
        <v>128581</v>
      </c>
      <c r="EX18" s="19">
        <f t="shared" si="8"/>
        <v>6811</v>
      </c>
      <c r="EY18" s="19">
        <f t="shared" si="8"/>
        <v>7649</v>
      </c>
      <c r="EZ18" s="41">
        <f t="shared" si="8"/>
        <v>1.01</v>
      </c>
    </row>
  </sheetData>
  <mergeCells count="125">
    <mergeCell ref="BO2:BS2"/>
    <mergeCell ref="AK2:AO2"/>
    <mergeCell ref="B3:B4"/>
    <mergeCell ref="C3:E3"/>
    <mergeCell ref="F3:F4"/>
    <mergeCell ref="G3:G4"/>
    <mergeCell ref="H3:J3"/>
    <mergeCell ref="K3:K4"/>
    <mergeCell ref="L3:L4"/>
    <mergeCell ref="B2:F2"/>
    <mergeCell ref="G2:K2"/>
    <mergeCell ref="L2:P2"/>
    <mergeCell ref="Q2:U2"/>
    <mergeCell ref="V2:Z2"/>
    <mergeCell ref="M3:O3"/>
    <mergeCell ref="AB3:AD3"/>
    <mergeCell ref="AE3:AE4"/>
    <mergeCell ref="AF3:AF4"/>
    <mergeCell ref="AA2:AE2"/>
    <mergeCell ref="AF2:AJ2"/>
    <mergeCell ref="AP2:AT2"/>
    <mergeCell ref="AU2:AY2"/>
    <mergeCell ref="AZ2:BD2"/>
    <mergeCell ref="BE2:BI2"/>
    <mergeCell ref="EQ2:EU2"/>
    <mergeCell ref="EV2:EZ2"/>
    <mergeCell ref="DM2:DQ2"/>
    <mergeCell ref="DW2:EA2"/>
    <mergeCell ref="EB2:EF2"/>
    <mergeCell ref="EG2:EK2"/>
    <mergeCell ref="EL2:EP2"/>
    <mergeCell ref="BT2:BX2"/>
    <mergeCell ref="BY2:CC2"/>
    <mergeCell ref="DR2:DV2"/>
    <mergeCell ref="CD2:CH2"/>
    <mergeCell ref="CI2:CM2"/>
    <mergeCell ref="CN2:CR2"/>
    <mergeCell ref="CS2:CW2"/>
    <mergeCell ref="CX2:DB2"/>
    <mergeCell ref="DC2:DG2"/>
    <mergeCell ref="DH2:DL2"/>
    <mergeCell ref="BJ2:BN2"/>
    <mergeCell ref="P3:P4"/>
    <mergeCell ref="Q3:Q4"/>
    <mergeCell ref="R3:T3"/>
    <mergeCell ref="U3:U4"/>
    <mergeCell ref="AL3:AN3"/>
    <mergeCell ref="AO3:AO4"/>
    <mergeCell ref="AP3:AP4"/>
    <mergeCell ref="AQ3:AS3"/>
    <mergeCell ref="V3:V4"/>
    <mergeCell ref="W3:Y3"/>
    <mergeCell ref="Z3:Z4"/>
    <mergeCell ref="AA3:AA4"/>
    <mergeCell ref="AG3:AI3"/>
    <mergeCell ref="AK3:AK4"/>
    <mergeCell ref="AJ3:AJ4"/>
    <mergeCell ref="BF3:BH3"/>
    <mergeCell ref="BI3:BI4"/>
    <mergeCell ref="BJ3:BJ4"/>
    <mergeCell ref="AV3:AX3"/>
    <mergeCell ref="AY3:AY4"/>
    <mergeCell ref="AZ3:AZ4"/>
    <mergeCell ref="AT3:AT4"/>
    <mergeCell ref="AU3:AU4"/>
    <mergeCell ref="BU3:BW3"/>
    <mergeCell ref="BA3:BC3"/>
    <mergeCell ref="BD3:BD4"/>
    <mergeCell ref="BE3:BE4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CY3:DA3"/>
    <mergeCell ref="DB3:DB4"/>
    <mergeCell ref="DC3:DC4"/>
    <mergeCell ref="DD3:DF3"/>
    <mergeCell ref="DG3:DG4"/>
    <mergeCell ref="DH3:DH4"/>
    <mergeCell ref="DM3:DM4"/>
    <mergeCell ref="DN3:DP3"/>
    <mergeCell ref="DQ3:DQ4"/>
    <mergeCell ref="A3:A4"/>
    <mergeCell ref="ER3:ET3"/>
    <mergeCell ref="EU3:EU4"/>
    <mergeCell ref="EV3:EV4"/>
    <mergeCell ref="EW3:EY3"/>
    <mergeCell ref="EZ3:EZ4"/>
    <mergeCell ref="EH3:EJ3"/>
    <mergeCell ref="EK3:EK4"/>
    <mergeCell ref="EL3:EL4"/>
    <mergeCell ref="EM3:EO3"/>
    <mergeCell ref="EP3:EP4"/>
    <mergeCell ref="EQ3:EQ4"/>
    <mergeCell ref="DX3:DZ3"/>
    <mergeCell ref="EA3:EA4"/>
    <mergeCell ref="EB3:EB4"/>
    <mergeCell ref="EC3:EE3"/>
    <mergeCell ref="EF3:EF4"/>
    <mergeCell ref="EG3:EG4"/>
    <mergeCell ref="DI3:DK3"/>
    <mergeCell ref="DL3:DL4"/>
    <mergeCell ref="DR3:DR4"/>
    <mergeCell ref="DS3:DU3"/>
    <mergeCell ref="DV3:DV4"/>
    <mergeCell ref="DW3:DW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U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2" width="16" style="6" customWidth="1"/>
    <col min="23" max="23" width="16" style="25" customWidth="1"/>
    <col min="24" max="24" width="16" style="6" customWidth="1"/>
    <col min="25" max="25" width="16" style="25" customWidth="1"/>
    <col min="26" max="54" width="16" style="6" customWidth="1"/>
    <col min="55" max="55" width="16" style="25" customWidth="1"/>
    <col min="56" max="56" width="16" style="6" customWidth="1"/>
    <col min="57" max="57" width="16" style="25" customWidth="1"/>
    <col min="58" max="110" width="16" style="6" customWidth="1"/>
    <col min="111" max="111" width="16" style="25" customWidth="1"/>
    <col min="112" max="112" width="16" style="6" customWidth="1"/>
    <col min="113" max="113" width="16" style="25" customWidth="1"/>
    <col min="114" max="125" width="16" style="6" customWidth="1"/>
    <col min="126" max="16384" width="9.140625" style="6"/>
  </cols>
  <sheetData>
    <row r="1" spans="1:125" ht="18.75" x14ac:dyDescent="0.3">
      <c r="A1" s="8" t="s">
        <v>246</v>
      </c>
    </row>
    <row r="2" spans="1:125" x14ac:dyDescent="0.25">
      <c r="A2" s="6" t="s">
        <v>111</v>
      </c>
    </row>
    <row r="3" spans="1:125" x14ac:dyDescent="0.25">
      <c r="A3" s="1" t="s">
        <v>0</v>
      </c>
      <c r="B3" s="134" t="s">
        <v>1</v>
      </c>
      <c r="C3" s="134"/>
      <c r="D3" s="134"/>
      <c r="E3" s="134"/>
      <c r="F3" s="134" t="s">
        <v>232</v>
      </c>
      <c r="G3" s="134"/>
      <c r="H3" s="134"/>
      <c r="I3" s="134"/>
      <c r="J3" s="134" t="s">
        <v>2</v>
      </c>
      <c r="K3" s="134"/>
      <c r="L3" s="134"/>
      <c r="M3" s="134"/>
      <c r="N3" s="134" t="s">
        <v>3</v>
      </c>
      <c r="O3" s="134"/>
      <c r="P3" s="134"/>
      <c r="Q3" s="134"/>
      <c r="R3" s="134" t="s">
        <v>241</v>
      </c>
      <c r="S3" s="134"/>
      <c r="T3" s="134"/>
      <c r="U3" s="134"/>
      <c r="V3" s="127" t="s">
        <v>233</v>
      </c>
      <c r="W3" s="133"/>
      <c r="X3" s="133"/>
      <c r="Y3" s="128"/>
      <c r="Z3" s="127" t="s">
        <v>244</v>
      </c>
      <c r="AA3" s="133"/>
      <c r="AB3" s="133"/>
      <c r="AC3" s="128"/>
      <c r="AD3" s="127" t="s">
        <v>5</v>
      </c>
      <c r="AE3" s="133"/>
      <c r="AF3" s="133"/>
      <c r="AG3" s="128"/>
      <c r="AH3" s="127" t="s">
        <v>4</v>
      </c>
      <c r="AI3" s="133"/>
      <c r="AJ3" s="133"/>
      <c r="AK3" s="128"/>
      <c r="AL3" s="127" t="s">
        <v>6</v>
      </c>
      <c r="AM3" s="133"/>
      <c r="AN3" s="133"/>
      <c r="AO3" s="128"/>
      <c r="AP3" s="127" t="s">
        <v>7</v>
      </c>
      <c r="AQ3" s="133"/>
      <c r="AR3" s="133"/>
      <c r="AS3" s="128"/>
      <c r="AT3" s="131" t="s">
        <v>8</v>
      </c>
      <c r="AU3" s="131"/>
      <c r="AV3" s="131"/>
      <c r="AW3" s="131"/>
      <c r="AX3" s="127" t="s">
        <v>9</v>
      </c>
      <c r="AY3" s="133"/>
      <c r="AZ3" s="133"/>
      <c r="BA3" s="128"/>
      <c r="BB3" s="127" t="s">
        <v>240</v>
      </c>
      <c r="BC3" s="133"/>
      <c r="BD3" s="133"/>
      <c r="BE3" s="128"/>
      <c r="BF3" s="127" t="s">
        <v>10</v>
      </c>
      <c r="BG3" s="133"/>
      <c r="BH3" s="133"/>
      <c r="BI3" s="128"/>
      <c r="BJ3" s="127" t="s">
        <v>11</v>
      </c>
      <c r="BK3" s="133"/>
      <c r="BL3" s="133"/>
      <c r="BM3" s="128"/>
      <c r="BN3" s="127" t="s">
        <v>234</v>
      </c>
      <c r="BO3" s="133"/>
      <c r="BP3" s="133"/>
      <c r="BQ3" s="128"/>
      <c r="BR3" s="127" t="s">
        <v>243</v>
      </c>
      <c r="BS3" s="133"/>
      <c r="BT3" s="133"/>
      <c r="BU3" s="128"/>
      <c r="BV3" s="127" t="s">
        <v>12</v>
      </c>
      <c r="BW3" s="133"/>
      <c r="BX3" s="133"/>
      <c r="BY3" s="128"/>
      <c r="BZ3" s="127" t="s">
        <v>235</v>
      </c>
      <c r="CA3" s="133"/>
      <c r="CB3" s="133"/>
      <c r="CC3" s="128"/>
      <c r="CD3" s="127" t="s">
        <v>236</v>
      </c>
      <c r="CE3" s="133"/>
      <c r="CF3" s="133"/>
      <c r="CG3" s="128"/>
      <c r="CH3" s="127" t="s">
        <v>239</v>
      </c>
      <c r="CI3" s="133"/>
      <c r="CJ3" s="133"/>
      <c r="CK3" s="128"/>
      <c r="CL3" s="134" t="s">
        <v>13</v>
      </c>
      <c r="CM3" s="134"/>
      <c r="CN3" s="134"/>
      <c r="CO3" s="134"/>
      <c r="CP3" s="134" t="s">
        <v>14</v>
      </c>
      <c r="CQ3" s="134"/>
      <c r="CR3" s="134"/>
      <c r="CS3" s="134"/>
      <c r="CT3" s="134" t="s">
        <v>15</v>
      </c>
      <c r="CU3" s="134"/>
      <c r="CV3" s="134"/>
      <c r="CW3" s="134"/>
      <c r="CX3" s="134" t="s">
        <v>16</v>
      </c>
      <c r="CY3" s="134"/>
      <c r="CZ3" s="134"/>
      <c r="DA3" s="134"/>
      <c r="DB3" s="134" t="s">
        <v>17</v>
      </c>
      <c r="DC3" s="134"/>
      <c r="DD3" s="134"/>
      <c r="DE3" s="134"/>
      <c r="DF3" s="134" t="s">
        <v>237</v>
      </c>
      <c r="DG3" s="134"/>
      <c r="DH3" s="134"/>
      <c r="DI3" s="134"/>
      <c r="DJ3" s="134" t="s">
        <v>238</v>
      </c>
      <c r="DK3" s="134"/>
      <c r="DL3" s="134"/>
      <c r="DM3" s="134"/>
      <c r="DN3" s="147" t="s">
        <v>18</v>
      </c>
      <c r="DO3" s="147"/>
      <c r="DP3" s="147"/>
      <c r="DQ3" s="147"/>
      <c r="DR3" s="134" t="s">
        <v>19</v>
      </c>
      <c r="DS3" s="134"/>
      <c r="DT3" s="134"/>
      <c r="DU3" s="134"/>
    </row>
    <row r="4" spans="1:125" ht="15" customHeight="1" x14ac:dyDescent="0.25">
      <c r="A4" s="1"/>
      <c r="B4" s="140" t="s">
        <v>299</v>
      </c>
      <c r="C4" s="140"/>
      <c r="D4" s="146" t="s">
        <v>298</v>
      </c>
      <c r="E4" s="146"/>
      <c r="F4" s="140" t="s">
        <v>299</v>
      </c>
      <c r="G4" s="140"/>
      <c r="H4" s="146" t="s">
        <v>298</v>
      </c>
      <c r="I4" s="146"/>
      <c r="J4" s="140" t="s">
        <v>299</v>
      </c>
      <c r="K4" s="140"/>
      <c r="L4" s="146" t="s">
        <v>298</v>
      </c>
      <c r="M4" s="146"/>
      <c r="N4" s="140" t="s">
        <v>299</v>
      </c>
      <c r="O4" s="140"/>
      <c r="P4" s="146" t="s">
        <v>298</v>
      </c>
      <c r="Q4" s="146"/>
      <c r="R4" s="140" t="s">
        <v>299</v>
      </c>
      <c r="S4" s="140"/>
      <c r="T4" s="146" t="s">
        <v>298</v>
      </c>
      <c r="U4" s="146"/>
      <c r="V4" s="140" t="s">
        <v>299</v>
      </c>
      <c r="W4" s="140"/>
      <c r="X4" s="146" t="s">
        <v>298</v>
      </c>
      <c r="Y4" s="146"/>
      <c r="Z4" s="140" t="s">
        <v>299</v>
      </c>
      <c r="AA4" s="140"/>
      <c r="AB4" s="146" t="s">
        <v>298</v>
      </c>
      <c r="AC4" s="146"/>
      <c r="AD4" s="140" t="s">
        <v>299</v>
      </c>
      <c r="AE4" s="140"/>
      <c r="AF4" s="146" t="s">
        <v>298</v>
      </c>
      <c r="AG4" s="146"/>
      <c r="AH4" s="140" t="s">
        <v>299</v>
      </c>
      <c r="AI4" s="140"/>
      <c r="AJ4" s="146" t="s">
        <v>298</v>
      </c>
      <c r="AK4" s="146"/>
      <c r="AL4" s="140" t="s">
        <v>299</v>
      </c>
      <c r="AM4" s="140"/>
      <c r="AN4" s="146" t="s">
        <v>298</v>
      </c>
      <c r="AO4" s="146"/>
      <c r="AP4" s="140" t="s">
        <v>299</v>
      </c>
      <c r="AQ4" s="140"/>
      <c r="AR4" s="146" t="s">
        <v>298</v>
      </c>
      <c r="AS4" s="146"/>
      <c r="AT4" s="148" t="s">
        <v>299</v>
      </c>
      <c r="AU4" s="148"/>
      <c r="AV4" s="149" t="s">
        <v>298</v>
      </c>
      <c r="AW4" s="149"/>
      <c r="AX4" s="140" t="s">
        <v>299</v>
      </c>
      <c r="AY4" s="140"/>
      <c r="AZ4" s="146" t="s">
        <v>298</v>
      </c>
      <c r="BA4" s="146"/>
      <c r="BB4" s="140" t="s">
        <v>299</v>
      </c>
      <c r="BC4" s="140"/>
      <c r="BD4" s="146" t="s">
        <v>298</v>
      </c>
      <c r="BE4" s="146"/>
      <c r="BF4" s="140" t="s">
        <v>299</v>
      </c>
      <c r="BG4" s="140"/>
      <c r="BH4" s="146" t="s">
        <v>298</v>
      </c>
      <c r="BI4" s="146"/>
      <c r="BJ4" s="140" t="s">
        <v>299</v>
      </c>
      <c r="BK4" s="140"/>
      <c r="BL4" s="146" t="s">
        <v>298</v>
      </c>
      <c r="BM4" s="146"/>
      <c r="BN4" s="140" t="s">
        <v>299</v>
      </c>
      <c r="BO4" s="140"/>
      <c r="BP4" s="146" t="s">
        <v>298</v>
      </c>
      <c r="BQ4" s="146"/>
      <c r="BR4" s="140" t="s">
        <v>299</v>
      </c>
      <c r="BS4" s="140"/>
      <c r="BT4" s="146" t="s">
        <v>298</v>
      </c>
      <c r="BU4" s="146"/>
      <c r="BV4" s="140" t="s">
        <v>299</v>
      </c>
      <c r="BW4" s="140"/>
      <c r="BX4" s="146" t="s">
        <v>298</v>
      </c>
      <c r="BY4" s="146"/>
      <c r="BZ4" s="140" t="s">
        <v>299</v>
      </c>
      <c r="CA4" s="140"/>
      <c r="CB4" s="146" t="s">
        <v>298</v>
      </c>
      <c r="CC4" s="146"/>
      <c r="CD4" s="140" t="s">
        <v>299</v>
      </c>
      <c r="CE4" s="140"/>
      <c r="CF4" s="146" t="s">
        <v>298</v>
      </c>
      <c r="CG4" s="146"/>
      <c r="CH4" s="140" t="s">
        <v>299</v>
      </c>
      <c r="CI4" s="140"/>
      <c r="CJ4" s="146" t="s">
        <v>298</v>
      </c>
      <c r="CK4" s="146"/>
      <c r="CL4" s="140" t="s">
        <v>299</v>
      </c>
      <c r="CM4" s="140"/>
      <c r="CN4" s="146" t="s">
        <v>298</v>
      </c>
      <c r="CO4" s="146"/>
      <c r="CP4" s="140" t="s">
        <v>299</v>
      </c>
      <c r="CQ4" s="140"/>
      <c r="CR4" s="146" t="s">
        <v>298</v>
      </c>
      <c r="CS4" s="146"/>
      <c r="CT4" s="140" t="s">
        <v>299</v>
      </c>
      <c r="CU4" s="140"/>
      <c r="CV4" s="146" t="s">
        <v>298</v>
      </c>
      <c r="CW4" s="146"/>
      <c r="CX4" s="140" t="s">
        <v>299</v>
      </c>
      <c r="CY4" s="140"/>
      <c r="CZ4" s="146" t="s">
        <v>298</v>
      </c>
      <c r="DA4" s="146"/>
      <c r="DB4" s="140" t="s">
        <v>299</v>
      </c>
      <c r="DC4" s="140"/>
      <c r="DD4" s="146" t="s">
        <v>298</v>
      </c>
      <c r="DE4" s="146"/>
      <c r="DF4" s="140" t="s">
        <v>299</v>
      </c>
      <c r="DG4" s="140"/>
      <c r="DH4" s="146" t="s">
        <v>298</v>
      </c>
      <c r="DI4" s="146"/>
      <c r="DJ4" s="140" t="s">
        <v>299</v>
      </c>
      <c r="DK4" s="140"/>
      <c r="DL4" s="146" t="s">
        <v>298</v>
      </c>
      <c r="DM4" s="146"/>
      <c r="DN4" s="140" t="s">
        <v>299</v>
      </c>
      <c r="DO4" s="140"/>
      <c r="DP4" s="146" t="s">
        <v>298</v>
      </c>
      <c r="DQ4" s="146"/>
      <c r="DR4" s="140" t="s">
        <v>299</v>
      </c>
      <c r="DS4" s="140"/>
      <c r="DT4" s="146" t="s">
        <v>298</v>
      </c>
      <c r="DU4" s="146"/>
    </row>
    <row r="5" spans="1:125" s="37" customFormat="1" x14ac:dyDescent="0.25">
      <c r="A5" s="36"/>
      <c r="B5" s="50" t="s">
        <v>121</v>
      </c>
      <c r="C5" s="50" t="s">
        <v>122</v>
      </c>
      <c r="D5" s="50" t="s">
        <v>121</v>
      </c>
      <c r="E5" s="50" t="s">
        <v>122</v>
      </c>
      <c r="F5" s="50" t="s">
        <v>121</v>
      </c>
      <c r="G5" s="50" t="s">
        <v>122</v>
      </c>
      <c r="H5" s="50" t="s">
        <v>121</v>
      </c>
      <c r="I5" s="50" t="s">
        <v>122</v>
      </c>
      <c r="J5" s="50" t="s">
        <v>121</v>
      </c>
      <c r="K5" s="50" t="s">
        <v>122</v>
      </c>
      <c r="L5" s="50" t="s">
        <v>121</v>
      </c>
      <c r="M5" s="50" t="s">
        <v>122</v>
      </c>
      <c r="N5" s="50" t="s">
        <v>121</v>
      </c>
      <c r="O5" s="50" t="s">
        <v>122</v>
      </c>
      <c r="P5" s="50" t="s">
        <v>121</v>
      </c>
      <c r="Q5" s="50" t="s">
        <v>122</v>
      </c>
      <c r="R5" s="50" t="s">
        <v>121</v>
      </c>
      <c r="S5" s="50" t="s">
        <v>122</v>
      </c>
      <c r="T5" s="50" t="s">
        <v>121</v>
      </c>
      <c r="U5" s="50" t="s">
        <v>122</v>
      </c>
      <c r="V5" s="50" t="s">
        <v>121</v>
      </c>
      <c r="W5" s="50" t="s">
        <v>122</v>
      </c>
      <c r="X5" s="50" t="s">
        <v>121</v>
      </c>
      <c r="Y5" s="50" t="s">
        <v>122</v>
      </c>
      <c r="Z5" s="50" t="s">
        <v>121</v>
      </c>
      <c r="AA5" s="50" t="s">
        <v>122</v>
      </c>
      <c r="AB5" s="50" t="s">
        <v>121</v>
      </c>
      <c r="AC5" s="50" t="s">
        <v>122</v>
      </c>
      <c r="AD5" s="50" t="s">
        <v>121</v>
      </c>
      <c r="AE5" s="50" t="s">
        <v>122</v>
      </c>
      <c r="AF5" s="50" t="s">
        <v>121</v>
      </c>
      <c r="AG5" s="50" t="s">
        <v>122</v>
      </c>
      <c r="AH5" s="50" t="s">
        <v>121</v>
      </c>
      <c r="AI5" s="50" t="s">
        <v>122</v>
      </c>
      <c r="AJ5" s="50" t="s">
        <v>121</v>
      </c>
      <c r="AK5" s="50" t="s">
        <v>122</v>
      </c>
      <c r="AL5" s="50" t="s">
        <v>121</v>
      </c>
      <c r="AM5" s="50" t="s">
        <v>122</v>
      </c>
      <c r="AN5" s="50" t="s">
        <v>121</v>
      </c>
      <c r="AO5" s="50" t="s">
        <v>122</v>
      </c>
      <c r="AP5" s="50" t="s">
        <v>121</v>
      </c>
      <c r="AQ5" s="50" t="s">
        <v>122</v>
      </c>
      <c r="AR5" s="50" t="s">
        <v>121</v>
      </c>
      <c r="AS5" s="50" t="s">
        <v>122</v>
      </c>
      <c r="AT5" s="125" t="s">
        <v>121</v>
      </c>
      <c r="AU5" s="125" t="s">
        <v>122</v>
      </c>
      <c r="AV5" s="125" t="s">
        <v>121</v>
      </c>
      <c r="AW5" s="125" t="s">
        <v>122</v>
      </c>
      <c r="AX5" s="50" t="s">
        <v>121</v>
      </c>
      <c r="AY5" s="50" t="s">
        <v>122</v>
      </c>
      <c r="AZ5" s="50" t="s">
        <v>121</v>
      </c>
      <c r="BA5" s="50" t="s">
        <v>122</v>
      </c>
      <c r="BB5" s="50" t="s">
        <v>121</v>
      </c>
      <c r="BC5" s="50" t="s">
        <v>122</v>
      </c>
      <c r="BD5" s="50" t="s">
        <v>121</v>
      </c>
      <c r="BE5" s="50" t="s">
        <v>122</v>
      </c>
      <c r="BF5" s="50" t="s">
        <v>121</v>
      </c>
      <c r="BG5" s="50" t="s">
        <v>122</v>
      </c>
      <c r="BH5" s="50" t="s">
        <v>121</v>
      </c>
      <c r="BI5" s="50" t="s">
        <v>122</v>
      </c>
      <c r="BJ5" s="50" t="s">
        <v>121</v>
      </c>
      <c r="BK5" s="50" t="s">
        <v>122</v>
      </c>
      <c r="BL5" s="50" t="s">
        <v>121</v>
      </c>
      <c r="BM5" s="50" t="s">
        <v>122</v>
      </c>
      <c r="BN5" s="50" t="s">
        <v>121</v>
      </c>
      <c r="BO5" s="50" t="s">
        <v>122</v>
      </c>
      <c r="BP5" s="50" t="s">
        <v>121</v>
      </c>
      <c r="BQ5" s="50" t="s">
        <v>122</v>
      </c>
      <c r="BR5" s="50" t="s">
        <v>121</v>
      </c>
      <c r="BS5" s="50" t="s">
        <v>122</v>
      </c>
      <c r="BT5" s="50" t="s">
        <v>121</v>
      </c>
      <c r="BU5" s="50" t="s">
        <v>122</v>
      </c>
      <c r="BV5" s="50" t="s">
        <v>121</v>
      </c>
      <c r="BW5" s="50" t="s">
        <v>122</v>
      </c>
      <c r="BX5" s="50" t="s">
        <v>121</v>
      </c>
      <c r="BY5" s="50" t="s">
        <v>122</v>
      </c>
      <c r="BZ5" s="50" t="s">
        <v>121</v>
      </c>
      <c r="CA5" s="50" t="s">
        <v>122</v>
      </c>
      <c r="CB5" s="50" t="s">
        <v>121</v>
      </c>
      <c r="CC5" s="50" t="s">
        <v>122</v>
      </c>
      <c r="CD5" s="50" t="s">
        <v>121</v>
      </c>
      <c r="CE5" s="50" t="s">
        <v>122</v>
      </c>
      <c r="CF5" s="50" t="s">
        <v>121</v>
      </c>
      <c r="CG5" s="50" t="s">
        <v>122</v>
      </c>
      <c r="CH5" s="50" t="s">
        <v>121</v>
      </c>
      <c r="CI5" s="50" t="s">
        <v>122</v>
      </c>
      <c r="CJ5" s="50" t="s">
        <v>121</v>
      </c>
      <c r="CK5" s="50" t="s">
        <v>122</v>
      </c>
      <c r="CL5" s="50" t="s">
        <v>121</v>
      </c>
      <c r="CM5" s="50" t="s">
        <v>122</v>
      </c>
      <c r="CN5" s="50" t="s">
        <v>121</v>
      </c>
      <c r="CO5" s="50" t="s">
        <v>122</v>
      </c>
      <c r="CP5" s="50" t="s">
        <v>121</v>
      </c>
      <c r="CQ5" s="50" t="s">
        <v>122</v>
      </c>
      <c r="CR5" s="50" t="s">
        <v>121</v>
      </c>
      <c r="CS5" s="50" t="s">
        <v>122</v>
      </c>
      <c r="CT5" s="50" t="s">
        <v>121</v>
      </c>
      <c r="CU5" s="50" t="s">
        <v>122</v>
      </c>
      <c r="CV5" s="50" t="s">
        <v>121</v>
      </c>
      <c r="CW5" s="50" t="s">
        <v>122</v>
      </c>
      <c r="CX5" s="50" t="s">
        <v>121</v>
      </c>
      <c r="CY5" s="50" t="s">
        <v>122</v>
      </c>
      <c r="CZ5" s="50" t="s">
        <v>121</v>
      </c>
      <c r="DA5" s="50" t="s">
        <v>122</v>
      </c>
      <c r="DB5" s="50" t="s">
        <v>121</v>
      </c>
      <c r="DC5" s="50" t="s">
        <v>122</v>
      </c>
      <c r="DD5" s="50" t="s">
        <v>121</v>
      </c>
      <c r="DE5" s="50" t="s">
        <v>122</v>
      </c>
      <c r="DF5" s="50" t="s">
        <v>121</v>
      </c>
      <c r="DG5" s="50" t="s">
        <v>122</v>
      </c>
      <c r="DH5" s="50" t="s">
        <v>121</v>
      </c>
      <c r="DI5" s="50" t="s">
        <v>122</v>
      </c>
      <c r="DJ5" s="50" t="s">
        <v>121</v>
      </c>
      <c r="DK5" s="50" t="s">
        <v>122</v>
      </c>
      <c r="DL5" s="50" t="s">
        <v>121</v>
      </c>
      <c r="DM5" s="50" t="s">
        <v>122</v>
      </c>
      <c r="DN5" s="50" t="s">
        <v>121</v>
      </c>
      <c r="DO5" s="50" t="s">
        <v>122</v>
      </c>
      <c r="DP5" s="50" t="s">
        <v>121</v>
      </c>
      <c r="DQ5" s="50" t="s">
        <v>122</v>
      </c>
      <c r="DR5" s="50" t="s">
        <v>121</v>
      </c>
      <c r="DS5" s="50" t="s">
        <v>122</v>
      </c>
      <c r="DT5" s="50" t="s">
        <v>121</v>
      </c>
      <c r="DU5" s="50" t="s">
        <v>122</v>
      </c>
    </row>
    <row r="6" spans="1:125" x14ac:dyDescent="0.25">
      <c r="A6" s="9" t="s">
        <v>112</v>
      </c>
      <c r="B6" s="9"/>
      <c r="C6" s="9"/>
      <c r="D6" s="9"/>
      <c r="E6" s="68"/>
      <c r="F6" s="62">
        <v>51831</v>
      </c>
      <c r="G6" s="62">
        <v>8263</v>
      </c>
      <c r="H6" s="62">
        <v>151083</v>
      </c>
      <c r="I6" s="62">
        <v>24272</v>
      </c>
      <c r="J6" s="62"/>
      <c r="K6" s="62"/>
      <c r="L6" s="62"/>
      <c r="M6" s="62"/>
      <c r="N6" s="69">
        <v>584144</v>
      </c>
      <c r="O6" s="62">
        <v>50682</v>
      </c>
      <c r="P6" s="62">
        <v>1610766</v>
      </c>
      <c r="Q6" s="71">
        <v>147629</v>
      </c>
      <c r="R6" s="62">
        <v>195231</v>
      </c>
      <c r="S6" s="62">
        <v>41504</v>
      </c>
      <c r="T6" s="62">
        <v>567133</v>
      </c>
      <c r="U6" s="62">
        <v>116405</v>
      </c>
      <c r="V6" s="62">
        <v>9352</v>
      </c>
      <c r="W6" s="62">
        <v>1430</v>
      </c>
      <c r="X6" s="62">
        <v>30846</v>
      </c>
      <c r="Y6" s="62">
        <v>4594</v>
      </c>
      <c r="Z6" s="62">
        <v>87750</v>
      </c>
      <c r="AA6" s="62">
        <v>5519</v>
      </c>
      <c r="AB6" s="62">
        <v>245196</v>
      </c>
      <c r="AC6" s="62">
        <v>14813</v>
      </c>
      <c r="AD6" s="74"/>
      <c r="AE6" s="74"/>
      <c r="AF6" s="74"/>
      <c r="AG6" s="74"/>
      <c r="AH6" s="9">
        <v>1260</v>
      </c>
      <c r="AI6" s="9">
        <v>183.46</v>
      </c>
      <c r="AJ6" s="9">
        <v>3407</v>
      </c>
      <c r="AK6" s="9">
        <v>486.86</v>
      </c>
      <c r="AL6" s="62">
        <v>145755</v>
      </c>
      <c r="AM6" s="62">
        <v>13427.71</v>
      </c>
      <c r="AN6" s="62">
        <v>354483</v>
      </c>
      <c r="AO6" s="62">
        <v>34514</v>
      </c>
      <c r="AP6" s="62">
        <v>424726</v>
      </c>
      <c r="AQ6" s="62">
        <v>81890</v>
      </c>
      <c r="AR6" s="62">
        <v>1179079</v>
      </c>
      <c r="AS6" s="62">
        <v>222564</v>
      </c>
      <c r="AT6" s="74">
        <v>501076</v>
      </c>
      <c r="AU6" s="74">
        <v>57715</v>
      </c>
      <c r="AV6" s="74">
        <v>1252051</v>
      </c>
      <c r="AW6" s="74">
        <v>165104</v>
      </c>
      <c r="AX6" s="74">
        <v>622329</v>
      </c>
      <c r="AY6" s="74">
        <v>39868.959999999999</v>
      </c>
      <c r="AZ6" s="74">
        <v>1602622</v>
      </c>
      <c r="BA6" s="74">
        <v>105706.31</v>
      </c>
      <c r="BB6" s="74">
        <v>3220</v>
      </c>
      <c r="BC6" s="74">
        <v>419</v>
      </c>
      <c r="BD6" s="74">
        <v>8834</v>
      </c>
      <c r="BE6" s="74">
        <v>1184</v>
      </c>
      <c r="BF6" s="74">
        <v>32575</v>
      </c>
      <c r="BG6" s="74">
        <v>3417.62</v>
      </c>
      <c r="BH6" s="74">
        <v>88972</v>
      </c>
      <c r="BI6" s="74">
        <v>8953.5</v>
      </c>
      <c r="BJ6" s="74">
        <v>15648</v>
      </c>
      <c r="BK6" s="74">
        <v>2540</v>
      </c>
      <c r="BL6" s="74">
        <v>35055</v>
      </c>
      <c r="BM6" s="74">
        <v>5430</v>
      </c>
      <c r="BN6" s="74">
        <v>34819</v>
      </c>
      <c r="BO6" s="74">
        <v>7500</v>
      </c>
      <c r="BP6" s="74">
        <v>104470</v>
      </c>
      <c r="BQ6" s="74">
        <v>20976</v>
      </c>
      <c r="BR6" s="74">
        <v>448828</v>
      </c>
      <c r="BS6" s="74">
        <v>35416</v>
      </c>
      <c r="BT6" s="74">
        <v>453509</v>
      </c>
      <c r="BU6" s="74">
        <v>98892</v>
      </c>
      <c r="BV6" s="9">
        <v>1548867</v>
      </c>
      <c r="BW6" s="9">
        <v>138948.96</v>
      </c>
      <c r="BX6" s="9">
        <v>4600624</v>
      </c>
      <c r="BY6" s="9">
        <v>402831.14</v>
      </c>
      <c r="BZ6" s="9"/>
      <c r="CA6" s="9">
        <v>40</v>
      </c>
      <c r="CB6" s="9"/>
      <c r="CC6" s="75">
        <v>170</v>
      </c>
      <c r="CD6" s="74">
        <v>638</v>
      </c>
      <c r="CE6" s="74">
        <v>119.12</v>
      </c>
      <c r="CF6" s="74">
        <v>1821</v>
      </c>
      <c r="CG6" s="74">
        <v>410.37</v>
      </c>
      <c r="CH6" s="74">
        <v>321128</v>
      </c>
      <c r="CI6" s="74">
        <v>25193</v>
      </c>
      <c r="CJ6" s="74">
        <v>788725</v>
      </c>
      <c r="CK6" s="74">
        <v>62253</v>
      </c>
      <c r="CL6" s="74">
        <v>81652</v>
      </c>
      <c r="CM6" s="74">
        <v>9755</v>
      </c>
      <c r="CN6" s="74">
        <v>244575</v>
      </c>
      <c r="CO6" s="74">
        <v>28077</v>
      </c>
      <c r="CP6" s="74">
        <v>99228</v>
      </c>
      <c r="CQ6" s="74">
        <v>15053</v>
      </c>
      <c r="CR6" s="74">
        <v>253241</v>
      </c>
      <c r="CS6" s="74">
        <v>38664</v>
      </c>
      <c r="CT6" s="74">
        <v>94934</v>
      </c>
      <c r="CU6" s="74">
        <v>3367.85</v>
      </c>
      <c r="CV6" s="74">
        <v>214092</v>
      </c>
      <c r="CW6" s="74">
        <v>9498.0300000000007</v>
      </c>
      <c r="CX6" s="74">
        <v>1699525</v>
      </c>
      <c r="CY6" s="74">
        <v>253866</v>
      </c>
      <c r="CZ6" s="74">
        <v>4850733</v>
      </c>
      <c r="DA6" s="74">
        <v>717597</v>
      </c>
      <c r="DB6" s="74">
        <v>474870</v>
      </c>
      <c r="DC6" s="74">
        <v>71286</v>
      </c>
      <c r="DD6" s="74">
        <v>1228527</v>
      </c>
      <c r="DE6" s="74">
        <v>190218</v>
      </c>
      <c r="DF6" s="74">
        <v>4734773</v>
      </c>
      <c r="DG6" s="74">
        <v>235752.95</v>
      </c>
      <c r="DH6" s="74">
        <v>12924057</v>
      </c>
      <c r="DI6" s="74">
        <v>671620.09</v>
      </c>
      <c r="DJ6" s="74">
        <v>1120288</v>
      </c>
      <c r="DK6" s="74">
        <v>131125.94</v>
      </c>
      <c r="DL6" s="74">
        <v>3006342</v>
      </c>
      <c r="DM6" s="74">
        <v>359367.4</v>
      </c>
      <c r="DN6" s="74">
        <v>2678493</v>
      </c>
      <c r="DO6" s="74">
        <v>190229.28</v>
      </c>
      <c r="DP6" s="74">
        <v>7395860</v>
      </c>
      <c r="DQ6" s="74">
        <v>529033.94999999995</v>
      </c>
      <c r="DR6" s="74">
        <v>22543</v>
      </c>
      <c r="DS6" s="74">
        <v>3827.61</v>
      </c>
      <c r="DT6" s="74">
        <v>84070</v>
      </c>
      <c r="DU6" s="74">
        <v>9038.23</v>
      </c>
    </row>
    <row r="7" spans="1:125" x14ac:dyDescent="0.25">
      <c r="A7" s="9" t="s">
        <v>113</v>
      </c>
      <c r="B7" s="9"/>
      <c r="C7" s="9"/>
      <c r="D7" s="9"/>
      <c r="E7" s="68"/>
      <c r="F7" s="62">
        <v>50222</v>
      </c>
      <c r="G7" s="62">
        <v>11824</v>
      </c>
      <c r="H7" s="62">
        <v>170835</v>
      </c>
      <c r="I7" s="62">
        <v>36717</v>
      </c>
      <c r="J7" s="62">
        <v>3482</v>
      </c>
      <c r="K7" s="62">
        <v>48.202168100000002</v>
      </c>
      <c r="L7" s="62">
        <v>3482</v>
      </c>
      <c r="M7" s="62">
        <v>48.202168100000002</v>
      </c>
      <c r="N7" s="69">
        <v>2041262</v>
      </c>
      <c r="O7" s="62">
        <v>35947</v>
      </c>
      <c r="P7" s="62">
        <v>4945066</v>
      </c>
      <c r="Q7" s="71">
        <v>99661</v>
      </c>
      <c r="R7" s="62">
        <v>92418</v>
      </c>
      <c r="S7" s="62">
        <v>20654</v>
      </c>
      <c r="T7" s="62">
        <v>242117</v>
      </c>
      <c r="U7" s="62">
        <v>58658</v>
      </c>
      <c r="V7" s="62">
        <v>554123</v>
      </c>
      <c r="W7" s="62">
        <v>28375</v>
      </c>
      <c r="X7" s="62">
        <v>1545386</v>
      </c>
      <c r="Y7" s="62">
        <v>80084</v>
      </c>
      <c r="Z7" s="62">
        <v>6813</v>
      </c>
      <c r="AA7" s="62">
        <v>534</v>
      </c>
      <c r="AB7" s="62">
        <v>17277</v>
      </c>
      <c r="AC7" s="62">
        <v>1370</v>
      </c>
      <c r="AD7" s="74"/>
      <c r="AE7" s="74"/>
      <c r="AF7" s="74"/>
      <c r="AG7" s="74"/>
      <c r="AH7" s="9">
        <v>1</v>
      </c>
      <c r="AI7" s="9">
        <v>0.14000000000000001</v>
      </c>
      <c r="AJ7" s="9">
        <v>1</v>
      </c>
      <c r="AK7" s="9">
        <v>0.14000000000000001</v>
      </c>
      <c r="AL7" s="62">
        <v>256112</v>
      </c>
      <c r="AM7" s="62">
        <v>8157.92</v>
      </c>
      <c r="AN7" s="62">
        <v>820278</v>
      </c>
      <c r="AO7" s="62">
        <v>23754.17</v>
      </c>
      <c r="AP7" s="62">
        <v>195504</v>
      </c>
      <c r="AQ7" s="62">
        <v>37612</v>
      </c>
      <c r="AR7" s="62">
        <v>676791</v>
      </c>
      <c r="AS7" s="62">
        <v>111245</v>
      </c>
      <c r="AT7" s="74">
        <v>341596</v>
      </c>
      <c r="AU7" s="74">
        <v>47226</v>
      </c>
      <c r="AV7" s="74">
        <v>916477</v>
      </c>
      <c r="AW7" s="74">
        <v>127888</v>
      </c>
      <c r="AX7" s="74">
        <v>80875</v>
      </c>
      <c r="AY7" s="74">
        <v>2469.4499999999998</v>
      </c>
      <c r="AZ7" s="74">
        <v>246723</v>
      </c>
      <c r="BA7" s="74">
        <v>6996.74</v>
      </c>
      <c r="BB7" s="74">
        <v>134537</v>
      </c>
      <c r="BC7" s="74">
        <v>6703</v>
      </c>
      <c r="BD7" s="74">
        <v>325431</v>
      </c>
      <c r="BE7" s="74">
        <v>16086</v>
      </c>
      <c r="BF7" s="74">
        <v>22487</v>
      </c>
      <c r="BG7" s="74">
        <v>201.98</v>
      </c>
      <c r="BH7" s="74">
        <v>34296</v>
      </c>
      <c r="BI7" s="74">
        <v>338.25</v>
      </c>
      <c r="BJ7" s="74">
        <v>565</v>
      </c>
      <c r="BK7" s="74">
        <v>20</v>
      </c>
      <c r="BL7" s="74">
        <v>3640</v>
      </c>
      <c r="BM7" s="74">
        <v>44</v>
      </c>
      <c r="BN7" s="74">
        <v>13007</v>
      </c>
      <c r="BO7" s="74">
        <v>4788</v>
      </c>
      <c r="BP7" s="74">
        <v>35012</v>
      </c>
      <c r="BQ7" s="74">
        <v>12972</v>
      </c>
      <c r="BR7" s="74">
        <v>203752</v>
      </c>
      <c r="BS7" s="74">
        <v>17620</v>
      </c>
      <c r="BT7" s="74">
        <v>205626</v>
      </c>
      <c r="BU7" s="74">
        <v>48632</v>
      </c>
      <c r="BV7" s="9">
        <v>6465</v>
      </c>
      <c r="BW7" s="9">
        <v>376.15</v>
      </c>
      <c r="BX7" s="9">
        <v>21647</v>
      </c>
      <c r="BY7" s="9">
        <v>1255.21</v>
      </c>
      <c r="BZ7" s="9"/>
      <c r="CA7" s="9">
        <v>3</v>
      </c>
      <c r="CB7" s="9"/>
      <c r="CC7" s="75">
        <v>4</v>
      </c>
      <c r="CD7" s="74"/>
      <c r="CE7" s="74"/>
      <c r="CF7" s="74"/>
      <c r="CG7" s="74"/>
      <c r="CH7" s="74">
        <v>197706</v>
      </c>
      <c r="CI7" s="74">
        <v>13085</v>
      </c>
      <c r="CJ7" s="74">
        <v>526304</v>
      </c>
      <c r="CK7" s="74">
        <v>36352</v>
      </c>
      <c r="CL7" s="74">
        <v>9793</v>
      </c>
      <c r="CM7" s="74">
        <v>1380</v>
      </c>
      <c r="CN7" s="74">
        <v>33261</v>
      </c>
      <c r="CO7" s="74">
        <v>4760</v>
      </c>
      <c r="CP7" s="74">
        <v>640353</v>
      </c>
      <c r="CQ7" s="74">
        <v>77738</v>
      </c>
      <c r="CR7" s="74">
        <v>1779477</v>
      </c>
      <c r="CS7" s="74">
        <v>211314</v>
      </c>
      <c r="CT7" s="74">
        <v>8620</v>
      </c>
      <c r="CU7" s="74">
        <v>295.58999999999997</v>
      </c>
      <c r="CV7" s="74">
        <v>18652</v>
      </c>
      <c r="CW7" s="74">
        <v>624.47</v>
      </c>
      <c r="CX7" s="74">
        <v>58220</v>
      </c>
      <c r="CY7" s="74">
        <v>15278</v>
      </c>
      <c r="CZ7" s="74">
        <v>153349</v>
      </c>
      <c r="DA7" s="74">
        <v>38630</v>
      </c>
      <c r="DB7" s="74">
        <v>69924</v>
      </c>
      <c r="DC7" s="74">
        <v>36104</v>
      </c>
      <c r="DD7" s="74">
        <v>767573</v>
      </c>
      <c r="DE7" s="74">
        <v>101587</v>
      </c>
      <c r="DF7" s="74">
        <v>92690</v>
      </c>
      <c r="DG7" s="74">
        <v>6753.07</v>
      </c>
      <c r="DH7" s="74">
        <v>231748</v>
      </c>
      <c r="DI7" s="74">
        <v>17810.36</v>
      </c>
      <c r="DJ7" s="74">
        <v>62267</v>
      </c>
      <c r="DK7" s="74">
        <v>5564.98</v>
      </c>
      <c r="DL7" s="74">
        <v>203964</v>
      </c>
      <c r="DM7" s="74">
        <v>19130.12</v>
      </c>
      <c r="DN7" s="74">
        <v>70858</v>
      </c>
      <c r="DO7" s="74">
        <v>5884.78</v>
      </c>
      <c r="DP7" s="74">
        <v>206739</v>
      </c>
      <c r="DQ7" s="74">
        <v>25895.59</v>
      </c>
      <c r="DR7" s="74">
        <v>133846</v>
      </c>
      <c r="DS7" s="74">
        <v>7899.53</v>
      </c>
      <c r="DT7" s="74">
        <v>430854</v>
      </c>
      <c r="DU7" s="74">
        <v>23675.74</v>
      </c>
    </row>
    <row r="8" spans="1:125" x14ac:dyDescent="0.25">
      <c r="A8" s="9" t="s">
        <v>114</v>
      </c>
      <c r="B8" s="62">
        <v>81930</v>
      </c>
      <c r="C8" s="62">
        <v>2217</v>
      </c>
      <c r="D8" s="62">
        <v>194872</v>
      </c>
      <c r="E8" s="62">
        <v>5553</v>
      </c>
      <c r="F8" s="62">
        <v>513</v>
      </c>
      <c r="G8" s="62">
        <v>6597</v>
      </c>
      <c r="H8" s="62">
        <v>2538</v>
      </c>
      <c r="I8" s="62">
        <v>21311</v>
      </c>
      <c r="J8" s="62"/>
      <c r="K8" s="62"/>
      <c r="L8" s="62"/>
      <c r="M8" s="62"/>
      <c r="N8" s="69">
        <v>804330</v>
      </c>
      <c r="O8" s="62">
        <v>12707</v>
      </c>
      <c r="P8" s="62">
        <v>2053483</v>
      </c>
      <c r="Q8" s="71">
        <v>35273</v>
      </c>
      <c r="R8" s="62">
        <v>5196</v>
      </c>
      <c r="S8" s="62">
        <v>6542</v>
      </c>
      <c r="T8" s="62">
        <v>15888</v>
      </c>
      <c r="U8" s="62">
        <v>16150</v>
      </c>
      <c r="V8" s="62">
        <v>1413720</v>
      </c>
      <c r="W8" s="62">
        <v>54284</v>
      </c>
      <c r="X8" s="62">
        <v>3695413</v>
      </c>
      <c r="Y8" s="62">
        <v>146753</v>
      </c>
      <c r="Z8" s="62">
        <v>19391</v>
      </c>
      <c r="AA8" s="62">
        <v>1023</v>
      </c>
      <c r="AB8" s="62">
        <v>58490</v>
      </c>
      <c r="AC8" s="62">
        <v>3229</v>
      </c>
      <c r="AD8" s="74"/>
      <c r="AE8" s="74"/>
      <c r="AF8" s="74"/>
      <c r="AG8" s="74"/>
      <c r="AH8" s="9">
        <v>775</v>
      </c>
      <c r="AI8" s="9">
        <v>682.11</v>
      </c>
      <c r="AJ8" s="9">
        <v>2945</v>
      </c>
      <c r="AK8" s="9">
        <v>1557.54</v>
      </c>
      <c r="AL8" s="62">
        <v>19098</v>
      </c>
      <c r="AM8" s="62">
        <v>1001.51</v>
      </c>
      <c r="AN8" s="62">
        <v>54183</v>
      </c>
      <c r="AO8" s="62">
        <v>3022</v>
      </c>
      <c r="AP8" s="62">
        <v>65957</v>
      </c>
      <c r="AQ8" s="62">
        <v>20083</v>
      </c>
      <c r="AR8" s="62">
        <v>220430</v>
      </c>
      <c r="AS8" s="62">
        <v>58396</v>
      </c>
      <c r="AT8" s="74">
        <v>388714</v>
      </c>
      <c r="AU8" s="74">
        <v>25241</v>
      </c>
      <c r="AV8" s="74">
        <v>974006</v>
      </c>
      <c r="AW8" s="74">
        <v>65099</v>
      </c>
      <c r="AX8" s="74">
        <v>12266</v>
      </c>
      <c r="AY8" s="74">
        <v>736.72</v>
      </c>
      <c r="AZ8" s="74">
        <v>28519</v>
      </c>
      <c r="BA8" s="74">
        <v>1823.65</v>
      </c>
      <c r="BB8" s="74">
        <v>230103</v>
      </c>
      <c r="BC8" s="74">
        <v>2927</v>
      </c>
      <c r="BD8" s="74">
        <v>706105</v>
      </c>
      <c r="BE8" s="74">
        <v>6414</v>
      </c>
      <c r="BF8" s="74">
        <v>4244</v>
      </c>
      <c r="BG8" s="74">
        <v>938.83</v>
      </c>
      <c r="BH8" s="74">
        <v>13618</v>
      </c>
      <c r="BI8" s="74">
        <v>2671.33</v>
      </c>
      <c r="BJ8" s="74">
        <v>10575</v>
      </c>
      <c r="BK8" s="74">
        <v>1272</v>
      </c>
      <c r="BL8" s="74">
        <v>33126</v>
      </c>
      <c r="BM8" s="74">
        <v>3772</v>
      </c>
      <c r="BN8" s="74">
        <v>2856</v>
      </c>
      <c r="BO8" s="74">
        <v>2178</v>
      </c>
      <c r="BP8" s="74">
        <v>8833</v>
      </c>
      <c r="BQ8" s="74">
        <v>6052</v>
      </c>
      <c r="BR8" s="74">
        <v>2821</v>
      </c>
      <c r="BS8" s="74">
        <v>8290</v>
      </c>
      <c r="BT8" s="74">
        <v>2826</v>
      </c>
      <c r="BU8" s="74">
        <v>23053</v>
      </c>
      <c r="BV8" s="9">
        <v>268</v>
      </c>
      <c r="BW8" s="9">
        <v>98.53</v>
      </c>
      <c r="BX8" s="9">
        <v>559</v>
      </c>
      <c r="BY8" s="9">
        <v>262.26</v>
      </c>
      <c r="BZ8" s="6">
        <v>-1197</v>
      </c>
      <c r="CA8" s="9">
        <v>-61</v>
      </c>
      <c r="CB8" s="6">
        <v>855</v>
      </c>
      <c r="CC8" s="75">
        <v>166</v>
      </c>
      <c r="CD8" s="74"/>
      <c r="CE8" s="74"/>
      <c r="CF8" s="74"/>
      <c r="CG8" s="74"/>
      <c r="CH8" s="74">
        <v>49612</v>
      </c>
      <c r="CI8" s="74">
        <v>11513</v>
      </c>
      <c r="CJ8" s="74">
        <v>126768</v>
      </c>
      <c r="CK8" s="74">
        <v>30874</v>
      </c>
      <c r="CL8" s="74">
        <v>25407</v>
      </c>
      <c r="CM8" s="74">
        <v>6360</v>
      </c>
      <c r="CN8" s="74">
        <v>74016</v>
      </c>
      <c r="CO8" s="74">
        <v>17740</v>
      </c>
      <c r="CP8" s="74">
        <v>20747</v>
      </c>
      <c r="CQ8" s="74">
        <v>1527</v>
      </c>
      <c r="CR8" s="74">
        <v>56199</v>
      </c>
      <c r="CS8" s="74">
        <v>6036</v>
      </c>
      <c r="CT8" s="74">
        <v>462826</v>
      </c>
      <c r="CU8" s="74">
        <v>24658.39</v>
      </c>
      <c r="CV8" s="74">
        <v>1083369</v>
      </c>
      <c r="CW8" s="74">
        <v>58597.18</v>
      </c>
      <c r="CX8" s="74">
        <v>4795</v>
      </c>
      <c r="CY8" s="74">
        <v>691</v>
      </c>
      <c r="CZ8" s="74">
        <v>12859</v>
      </c>
      <c r="DA8" s="74">
        <v>2281</v>
      </c>
      <c r="DB8" s="74">
        <v>446931</v>
      </c>
      <c r="DC8" s="74">
        <v>8413</v>
      </c>
      <c r="DD8" s="74">
        <v>1021929</v>
      </c>
      <c r="DE8" s="74">
        <v>22065</v>
      </c>
      <c r="DF8" s="74">
        <v>20810</v>
      </c>
      <c r="DG8" s="74">
        <v>3046.53</v>
      </c>
      <c r="DH8" s="74">
        <v>58332</v>
      </c>
      <c r="DI8" s="74">
        <v>9657.76</v>
      </c>
      <c r="DJ8" s="74">
        <v>26899</v>
      </c>
      <c r="DK8" s="74">
        <v>6681.03</v>
      </c>
      <c r="DL8" s="74">
        <v>88977</v>
      </c>
      <c r="DM8" s="74">
        <v>9944.98</v>
      </c>
      <c r="DN8" s="74">
        <v>14666</v>
      </c>
      <c r="DO8" s="74">
        <v>3135.62</v>
      </c>
      <c r="DP8" s="74">
        <v>41151</v>
      </c>
      <c r="DQ8" s="74">
        <v>8521.25</v>
      </c>
      <c r="DR8" s="74">
        <v>46</v>
      </c>
      <c r="DS8" s="74">
        <v>2.94</v>
      </c>
      <c r="DT8" s="74">
        <v>166</v>
      </c>
      <c r="DU8" s="74">
        <v>22.98</v>
      </c>
    </row>
    <row r="9" spans="1:125" x14ac:dyDescent="0.25">
      <c r="A9" s="9" t="s">
        <v>115</v>
      </c>
      <c r="B9" s="62">
        <v>49003</v>
      </c>
      <c r="C9" s="62">
        <v>8316</v>
      </c>
      <c r="D9" s="62">
        <v>121823</v>
      </c>
      <c r="E9" s="62">
        <v>31944</v>
      </c>
      <c r="F9" s="62">
        <v>28892</v>
      </c>
      <c r="G9" s="62">
        <v>27028</v>
      </c>
      <c r="H9" s="62">
        <v>102251</v>
      </c>
      <c r="I9" s="62">
        <v>88634</v>
      </c>
      <c r="J9" s="62">
        <v>1766327</v>
      </c>
      <c r="K9" s="62">
        <v>8353.1766810000008</v>
      </c>
      <c r="L9" s="62">
        <v>8331057</v>
      </c>
      <c r="M9" s="62">
        <v>84147.117050000001</v>
      </c>
      <c r="N9" s="69">
        <v>2303964</v>
      </c>
      <c r="O9" s="62">
        <v>151824</v>
      </c>
      <c r="P9" s="62">
        <v>6217700</v>
      </c>
      <c r="Q9" s="71">
        <v>432516</v>
      </c>
      <c r="R9" s="62">
        <v>103027</v>
      </c>
      <c r="S9" s="62">
        <v>51263</v>
      </c>
      <c r="T9" s="62">
        <v>296299</v>
      </c>
      <c r="U9" s="62">
        <v>130107</v>
      </c>
      <c r="V9" s="62">
        <v>1234587</v>
      </c>
      <c r="W9" s="62">
        <v>67683</v>
      </c>
      <c r="X9" s="62">
        <v>2856744</v>
      </c>
      <c r="Y9" s="62">
        <v>174019</v>
      </c>
      <c r="Z9" s="62">
        <v>2020682</v>
      </c>
      <c r="AA9" s="62">
        <v>105861</v>
      </c>
      <c r="AB9" s="62">
        <v>4927733</v>
      </c>
      <c r="AC9" s="62">
        <v>318051</v>
      </c>
      <c r="AD9" s="74">
        <v>110</v>
      </c>
      <c r="AE9" s="74">
        <v>4550.18</v>
      </c>
      <c r="AF9" s="74">
        <v>463</v>
      </c>
      <c r="AG9" s="74">
        <v>12053.39</v>
      </c>
      <c r="AH9" s="9">
        <v>89116</v>
      </c>
      <c r="AI9" s="9">
        <v>10358.51</v>
      </c>
      <c r="AJ9" s="9">
        <v>223381</v>
      </c>
      <c r="AK9" s="9">
        <v>30895.9</v>
      </c>
      <c r="AL9" s="62">
        <v>210691</v>
      </c>
      <c r="AM9" s="62">
        <v>31580.3</v>
      </c>
      <c r="AN9" s="62">
        <v>712036</v>
      </c>
      <c r="AO9" s="62">
        <v>109568.86</v>
      </c>
      <c r="AP9" s="62">
        <v>1110988</v>
      </c>
      <c r="AQ9" s="62">
        <v>150496</v>
      </c>
      <c r="AR9" s="62">
        <v>2858237</v>
      </c>
      <c r="AS9" s="62">
        <v>413852</v>
      </c>
      <c r="AT9" s="74">
        <v>5802751</v>
      </c>
      <c r="AU9" s="74">
        <v>272565</v>
      </c>
      <c r="AV9" s="74">
        <v>12460316</v>
      </c>
      <c r="AW9" s="74">
        <v>751273</v>
      </c>
      <c r="AX9" s="74">
        <v>927972</v>
      </c>
      <c r="AY9" s="74">
        <v>107430.46</v>
      </c>
      <c r="AZ9" s="74">
        <v>2315475</v>
      </c>
      <c r="BA9" s="74">
        <v>336279.44</v>
      </c>
      <c r="BB9" s="74">
        <v>290911</v>
      </c>
      <c r="BC9" s="74">
        <v>10016</v>
      </c>
      <c r="BD9" s="74">
        <v>873215</v>
      </c>
      <c r="BE9" s="74">
        <v>28900</v>
      </c>
      <c r="BF9" s="74">
        <v>690349</v>
      </c>
      <c r="BG9" s="74">
        <v>38848.080000000002</v>
      </c>
      <c r="BH9" s="74">
        <v>1731264</v>
      </c>
      <c r="BI9" s="74">
        <v>107831.1</v>
      </c>
      <c r="BJ9" s="74">
        <v>596283</v>
      </c>
      <c r="BK9" s="74">
        <v>47192</v>
      </c>
      <c r="BL9" s="74">
        <v>1380690</v>
      </c>
      <c r="BM9" s="74">
        <v>129472</v>
      </c>
      <c r="BN9" s="74">
        <v>27590</v>
      </c>
      <c r="BO9" s="74">
        <v>11128</v>
      </c>
      <c r="BP9" s="74">
        <v>82826</v>
      </c>
      <c r="BQ9" s="74">
        <v>30045</v>
      </c>
      <c r="BR9" s="74">
        <v>273639</v>
      </c>
      <c r="BS9" s="74">
        <v>20237</v>
      </c>
      <c r="BT9" s="74">
        <v>282268</v>
      </c>
      <c r="BU9" s="74">
        <v>55651</v>
      </c>
      <c r="BV9" s="9">
        <v>2296840</v>
      </c>
      <c r="BW9" s="9">
        <v>98577.05</v>
      </c>
      <c r="BX9" s="9">
        <v>5414585</v>
      </c>
      <c r="BY9" s="9">
        <v>332098</v>
      </c>
      <c r="BZ9" s="9">
        <v>-1</v>
      </c>
      <c r="CA9" s="9">
        <v>495</v>
      </c>
      <c r="CB9" s="6">
        <v>31674</v>
      </c>
      <c r="CC9" s="75">
        <v>1464</v>
      </c>
      <c r="CD9" s="74">
        <v>28720</v>
      </c>
      <c r="CE9" s="74">
        <v>8056.69</v>
      </c>
      <c r="CF9" s="74">
        <v>119040</v>
      </c>
      <c r="CG9" s="74">
        <v>30303.99</v>
      </c>
      <c r="CH9" s="74">
        <v>1400932</v>
      </c>
      <c r="CI9" s="74">
        <v>98086</v>
      </c>
      <c r="CJ9" s="74">
        <v>3044367</v>
      </c>
      <c r="CK9" s="74">
        <v>288547</v>
      </c>
      <c r="CL9" s="74">
        <v>453347</v>
      </c>
      <c r="CM9" s="74">
        <v>49196</v>
      </c>
      <c r="CN9" s="74">
        <v>1006518</v>
      </c>
      <c r="CO9" s="74">
        <v>132238</v>
      </c>
      <c r="CP9" s="74">
        <v>536683</v>
      </c>
      <c r="CQ9" s="74">
        <v>73867</v>
      </c>
      <c r="CR9" s="74">
        <v>1588592</v>
      </c>
      <c r="CS9" s="74">
        <v>228663</v>
      </c>
      <c r="CT9" s="74">
        <v>58597.18</v>
      </c>
      <c r="CU9" s="74">
        <v>6377.09</v>
      </c>
      <c r="CV9" s="74">
        <v>324652</v>
      </c>
      <c r="CW9" s="74">
        <v>24854.06</v>
      </c>
      <c r="CX9" s="74">
        <v>67592</v>
      </c>
      <c r="CY9" s="74">
        <v>13691</v>
      </c>
      <c r="CZ9" s="74">
        <v>217784</v>
      </c>
      <c r="DA9" s="74">
        <v>40307</v>
      </c>
      <c r="DB9" s="74">
        <v>826136</v>
      </c>
      <c r="DC9" s="74">
        <v>144255</v>
      </c>
      <c r="DD9" s="74">
        <v>2537290</v>
      </c>
      <c r="DE9" s="74">
        <v>401094</v>
      </c>
      <c r="DF9" s="74">
        <v>941873</v>
      </c>
      <c r="DG9" s="74">
        <v>239196.23</v>
      </c>
      <c r="DH9" s="74">
        <v>2513108</v>
      </c>
      <c r="DI9" s="74">
        <v>869156.13</v>
      </c>
      <c r="DJ9" s="74">
        <v>332377</v>
      </c>
      <c r="DK9" s="74">
        <v>127514.49</v>
      </c>
      <c r="DL9" s="74">
        <v>765545</v>
      </c>
      <c r="DM9" s="74">
        <v>362171.87</v>
      </c>
      <c r="DN9" s="74">
        <v>281499</v>
      </c>
      <c r="DO9" s="74">
        <v>78455.710000000006</v>
      </c>
      <c r="DP9" s="74">
        <v>552950</v>
      </c>
      <c r="DQ9" s="74">
        <v>263508.3</v>
      </c>
      <c r="DR9" s="74">
        <v>431966</v>
      </c>
      <c r="DS9" s="74">
        <v>35750.550000000003</v>
      </c>
      <c r="DT9" s="74">
        <v>1486789</v>
      </c>
      <c r="DU9" s="74">
        <v>128944.98</v>
      </c>
    </row>
    <row r="10" spans="1:125" x14ac:dyDescent="0.25">
      <c r="A10" s="9" t="s">
        <v>116</v>
      </c>
      <c r="B10" s="62"/>
      <c r="C10" s="62"/>
      <c r="D10" s="62"/>
      <c r="E10" s="62"/>
      <c r="F10" s="9"/>
      <c r="G10" s="9"/>
      <c r="H10" s="9"/>
      <c r="I10" s="9"/>
      <c r="J10" s="62">
        <v>66</v>
      </c>
      <c r="K10" s="62">
        <v>-1.4153275000000001</v>
      </c>
      <c r="L10" s="62">
        <v>10273</v>
      </c>
      <c r="M10" s="62">
        <v>691.92441970000004</v>
      </c>
      <c r="N10" s="69"/>
      <c r="O10" s="62"/>
      <c r="P10" s="9"/>
      <c r="Q10" s="71"/>
      <c r="R10" s="62">
        <v>2</v>
      </c>
      <c r="S10" s="62">
        <v>1319</v>
      </c>
      <c r="T10" s="62">
        <v>3</v>
      </c>
      <c r="U10" s="62">
        <v>4471</v>
      </c>
      <c r="V10" s="62"/>
      <c r="W10" s="62"/>
      <c r="X10" s="62"/>
      <c r="Y10" s="62"/>
      <c r="Z10" s="62"/>
      <c r="AA10" s="62"/>
      <c r="AB10" s="62"/>
      <c r="AC10" s="62"/>
      <c r="AD10" s="74"/>
      <c r="AE10" s="74"/>
      <c r="AF10" s="74"/>
      <c r="AG10" s="74"/>
      <c r="AH10" s="9"/>
      <c r="AI10" s="9"/>
      <c r="AJ10" s="9"/>
      <c r="AK10" s="9"/>
      <c r="AL10" s="62"/>
      <c r="AM10" s="62">
        <v>0.84</v>
      </c>
      <c r="AN10" s="62">
        <v>5</v>
      </c>
      <c r="AO10" s="62">
        <v>1.36</v>
      </c>
      <c r="AP10" s="62"/>
      <c r="AQ10" s="9"/>
      <c r="AR10" s="9"/>
      <c r="AS10" s="9"/>
      <c r="AT10" s="74"/>
      <c r="AU10" s="74"/>
      <c r="AV10" s="74"/>
      <c r="AW10" s="74"/>
      <c r="AX10" s="74"/>
      <c r="AY10" s="74"/>
      <c r="AZ10" s="74"/>
      <c r="BA10" s="74"/>
      <c r="BB10" s="74">
        <v>77471</v>
      </c>
      <c r="BC10" s="74">
        <v>277</v>
      </c>
      <c r="BD10" s="74">
        <v>166298</v>
      </c>
      <c r="BE10" s="74">
        <v>473</v>
      </c>
      <c r="BF10" s="74"/>
      <c r="BG10" s="74"/>
      <c r="BH10" s="74"/>
      <c r="BI10" s="74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75"/>
      <c r="CD10" s="74"/>
      <c r="CE10" s="74"/>
      <c r="CF10" s="74"/>
      <c r="CG10" s="74"/>
      <c r="CH10" s="74"/>
      <c r="CI10" s="74"/>
      <c r="CJ10" s="74"/>
      <c r="CK10" s="74"/>
      <c r="CL10" s="9">
        <v>12</v>
      </c>
      <c r="CM10" s="9">
        <v>1</v>
      </c>
      <c r="CN10" s="9">
        <v>32</v>
      </c>
      <c r="CO10" s="9">
        <v>1</v>
      </c>
      <c r="CP10" s="74"/>
      <c r="CQ10" s="74"/>
      <c r="CR10" s="74">
        <v>40</v>
      </c>
      <c r="CS10" s="74">
        <v>1</v>
      </c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>
        <v>12</v>
      </c>
      <c r="DG10" s="74">
        <v>0.03</v>
      </c>
      <c r="DH10" s="74">
        <v>20</v>
      </c>
      <c r="DI10" s="74">
        <v>5.63</v>
      </c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</row>
    <row r="11" spans="1:125" x14ac:dyDescent="0.25">
      <c r="A11" s="9" t="s">
        <v>117</v>
      </c>
      <c r="B11" s="62">
        <v>548907</v>
      </c>
      <c r="C11" s="62">
        <v>27141</v>
      </c>
      <c r="D11" s="62">
        <v>1444452</v>
      </c>
      <c r="E11" s="62">
        <v>70785</v>
      </c>
      <c r="F11" s="62">
        <f>5030+866</f>
        <v>5896</v>
      </c>
      <c r="G11" s="62">
        <f>1976+3014</f>
        <v>4990</v>
      </c>
      <c r="H11" s="62">
        <f>11979+7035</f>
        <v>19014</v>
      </c>
      <c r="I11" s="62">
        <f>5486+9167</f>
        <v>14653</v>
      </c>
      <c r="J11" s="62">
        <v>20851</v>
      </c>
      <c r="K11" s="62">
        <v>963.64230580000003</v>
      </c>
      <c r="L11" s="62">
        <v>35189</v>
      </c>
      <c r="M11" s="62">
        <v>1929.5666329999999</v>
      </c>
      <c r="N11" s="69">
        <f>1116+61516+678919</f>
        <v>741551</v>
      </c>
      <c r="O11" s="62">
        <f>115+2134+74280</f>
        <v>76529</v>
      </c>
      <c r="P11" s="9">
        <f>2976+175917+1961513</f>
        <v>2140406</v>
      </c>
      <c r="Q11" s="71">
        <f>296+6545+335978</f>
        <v>342819</v>
      </c>
      <c r="R11" s="62">
        <v>58854</v>
      </c>
      <c r="S11" s="62">
        <v>674</v>
      </c>
      <c r="T11" s="62">
        <v>197471</v>
      </c>
      <c r="U11" s="62">
        <v>29375</v>
      </c>
      <c r="V11" s="62">
        <v>50311</v>
      </c>
      <c r="W11" s="62">
        <v>7817</v>
      </c>
      <c r="X11" s="62">
        <v>141955</v>
      </c>
      <c r="Y11" s="62">
        <v>26282</v>
      </c>
      <c r="Z11" s="9">
        <f>267835+128837</f>
        <v>396672</v>
      </c>
      <c r="AA11" s="6">
        <f>22557+3250</f>
        <v>25807</v>
      </c>
      <c r="AB11" s="9">
        <f>773838+300797</f>
        <v>1074635</v>
      </c>
      <c r="AC11" s="9">
        <f>60465+8513</f>
        <v>68978</v>
      </c>
      <c r="AD11" s="74">
        <v>972</v>
      </c>
      <c r="AE11" s="74">
        <v>8451.98</v>
      </c>
      <c r="AF11" s="74">
        <v>2629</v>
      </c>
      <c r="AG11" s="74">
        <v>26049.040000000001</v>
      </c>
      <c r="AH11" s="9">
        <v>11575</v>
      </c>
      <c r="AI11" s="9">
        <v>2477.71</v>
      </c>
      <c r="AJ11" s="9">
        <v>37096</v>
      </c>
      <c r="AK11" s="9">
        <v>6581.61</v>
      </c>
      <c r="AL11" s="62">
        <v>94652</v>
      </c>
      <c r="AM11" s="62">
        <v>56311.68</v>
      </c>
      <c r="AN11" s="62">
        <v>298215</v>
      </c>
      <c r="AO11" s="62">
        <v>119191.7</v>
      </c>
      <c r="AP11" s="62">
        <f>187619+64212</f>
        <v>251831</v>
      </c>
      <c r="AQ11" s="62">
        <f>11042+67839</f>
        <v>78881</v>
      </c>
      <c r="AR11" s="62">
        <f>522558+181969</f>
        <v>704527</v>
      </c>
      <c r="AS11" s="62">
        <f>31743+298387</f>
        <v>330130</v>
      </c>
      <c r="AT11" s="74">
        <f>170369+314138</f>
        <v>484507</v>
      </c>
      <c r="AU11" s="74">
        <f>7777+89285</f>
        <v>97062</v>
      </c>
      <c r="AV11" s="74">
        <f>494960+799042</f>
        <v>1294002</v>
      </c>
      <c r="AW11" s="74">
        <f>27936+350221</f>
        <v>378157</v>
      </c>
      <c r="AX11" s="74">
        <v>154672</v>
      </c>
      <c r="AY11" s="74">
        <v>76952.320000000007</v>
      </c>
      <c r="AZ11" s="74">
        <v>401122</v>
      </c>
      <c r="BA11" s="74">
        <v>197375.14</v>
      </c>
      <c r="BB11" s="74">
        <v>153752</v>
      </c>
      <c r="BC11" s="74">
        <v>6981</v>
      </c>
      <c r="BD11" s="74">
        <v>740680</v>
      </c>
      <c r="BE11" s="74">
        <v>22496</v>
      </c>
      <c r="BF11" s="74">
        <v>34184</v>
      </c>
      <c r="BG11" s="74">
        <v>3006.33</v>
      </c>
      <c r="BH11" s="74">
        <v>78129</v>
      </c>
      <c r="BI11" s="74">
        <v>8916.52</v>
      </c>
      <c r="BJ11" s="9">
        <f>1017+31401</f>
        <v>32418</v>
      </c>
      <c r="BK11" s="9">
        <f>38+5093</f>
        <v>5131</v>
      </c>
      <c r="BL11" s="6">
        <f>3820+97032</f>
        <v>100852</v>
      </c>
      <c r="BM11" s="75">
        <f>54+11984</f>
        <v>12038</v>
      </c>
      <c r="BN11" s="74">
        <f>2778+1945+28</f>
        <v>4751</v>
      </c>
      <c r="BO11" s="74">
        <f>8185+388+4</f>
        <v>8577</v>
      </c>
      <c r="BP11" s="74">
        <f>8569+6004+179</f>
        <v>14752</v>
      </c>
      <c r="BQ11" s="74">
        <f>21970+1140+136</f>
        <v>23246</v>
      </c>
      <c r="BR11" s="80">
        <f>181072+2450</f>
        <v>183522</v>
      </c>
      <c r="BS11" s="80">
        <f>16909+100</f>
        <v>17009</v>
      </c>
      <c r="BT11" s="80">
        <f>181574+2805</f>
        <v>184379</v>
      </c>
      <c r="BU11" s="80">
        <f>45386+276</f>
        <v>45662</v>
      </c>
      <c r="BV11" s="9">
        <v>69877</v>
      </c>
      <c r="BW11" s="9">
        <v>119951.89</v>
      </c>
      <c r="BX11" s="9">
        <v>199730</v>
      </c>
      <c r="BY11" s="9">
        <v>401857.9</v>
      </c>
      <c r="BZ11" s="9">
        <f>22936+28874</f>
        <v>51810</v>
      </c>
      <c r="CA11" s="9">
        <f>1011+182</f>
        <v>1193</v>
      </c>
      <c r="CB11" s="6">
        <f>83094+48038</f>
        <v>131132</v>
      </c>
      <c r="CC11" s="75">
        <f>2656+528</f>
        <v>3184</v>
      </c>
      <c r="CD11" s="74">
        <f>6+185+3362</f>
        <v>3553</v>
      </c>
      <c r="CE11" s="74">
        <f>0.4+5.5+561.89</f>
        <v>567.79</v>
      </c>
      <c r="CF11" s="74">
        <f>20+329+11900</f>
        <v>12249</v>
      </c>
      <c r="CG11" s="74">
        <f>2.55+9.75+2201.55</f>
        <v>2213.8500000000004</v>
      </c>
      <c r="CH11" s="74">
        <f>47291+152194</f>
        <v>199485</v>
      </c>
      <c r="CI11" s="74">
        <f>1425+74478</f>
        <v>75903</v>
      </c>
      <c r="CJ11" s="74">
        <f>134049+359207</f>
        <v>493256</v>
      </c>
      <c r="CK11" s="74">
        <f>4574+341411</f>
        <v>345985</v>
      </c>
      <c r="CL11" s="9">
        <f>24621+52720</f>
        <v>77341</v>
      </c>
      <c r="CM11" s="9">
        <f>1457+3054</f>
        <v>4511</v>
      </c>
      <c r="CN11" s="9">
        <f>55492+128172</f>
        <v>183664</v>
      </c>
      <c r="CO11" s="9">
        <f>3918+9147</f>
        <v>13065</v>
      </c>
      <c r="CP11" s="74">
        <f>2186+461798</f>
        <v>463984</v>
      </c>
      <c r="CQ11" s="74">
        <f>1251+21006</f>
        <v>22257</v>
      </c>
      <c r="CR11" s="74">
        <f>14495+5795209</f>
        <v>5809704</v>
      </c>
      <c r="CS11" s="74">
        <f>2288+195191</f>
        <v>197479</v>
      </c>
      <c r="CT11" s="74">
        <v>54218</v>
      </c>
      <c r="CU11" s="74">
        <v>2368.73</v>
      </c>
      <c r="CV11" s="74">
        <v>140615</v>
      </c>
      <c r="CW11" s="74">
        <v>6467.75</v>
      </c>
      <c r="CX11" s="74">
        <f>141143</f>
        <v>141143</v>
      </c>
      <c r="CY11" s="74">
        <f>25560</f>
        <v>25560</v>
      </c>
      <c r="CZ11" s="74">
        <v>422543</v>
      </c>
      <c r="DA11" s="74">
        <v>74736</v>
      </c>
      <c r="DB11" s="74">
        <v>1436971</v>
      </c>
      <c r="DC11" s="74">
        <v>43641</v>
      </c>
      <c r="DD11" s="74">
        <v>2463955</v>
      </c>
      <c r="DE11" s="74">
        <v>133103</v>
      </c>
      <c r="DF11" s="74">
        <v>206138</v>
      </c>
      <c r="DG11" s="74">
        <v>252161.68</v>
      </c>
      <c r="DH11" s="74">
        <v>734440</v>
      </c>
      <c r="DI11" s="74">
        <v>776451.76</v>
      </c>
      <c r="DJ11" s="74">
        <v>176026</v>
      </c>
      <c r="DK11" s="74">
        <v>63405.63</v>
      </c>
      <c r="DL11" s="74">
        <v>241608</v>
      </c>
      <c r="DM11" s="74">
        <v>339167.65</v>
      </c>
      <c r="DN11" s="74">
        <f>4756+8104+112227</f>
        <v>125087</v>
      </c>
      <c r="DO11" s="74">
        <f>1275.27+403.08+104687.01</f>
        <v>106365.36</v>
      </c>
      <c r="DP11" s="74">
        <f>7543+16514+309368</f>
        <v>333425</v>
      </c>
      <c r="DQ11" s="74">
        <f>4433.06+775.88+357822.64</f>
        <v>363031.58</v>
      </c>
      <c r="DR11" s="74">
        <f>6087+2801</f>
        <v>8888</v>
      </c>
      <c r="DS11" s="74">
        <f>435.81+50537.88</f>
        <v>50973.689999999995</v>
      </c>
      <c r="DT11" s="74">
        <f>8899+8568</f>
        <v>17467</v>
      </c>
      <c r="DU11" s="74">
        <f>11160.6+116964.37</f>
        <v>128124.97</v>
      </c>
    </row>
    <row r="12" spans="1:125" x14ac:dyDescent="0.25">
      <c r="A12" s="9" t="s">
        <v>31</v>
      </c>
      <c r="B12" s="62">
        <f>B13-B11-B10-B9-B8-B7-B6</f>
        <v>0</v>
      </c>
      <c r="C12" s="62">
        <f t="shared" ref="C12:BN12" si="0">C13-C11-C10-C9-C8-C7-C6</f>
        <v>-1</v>
      </c>
      <c r="D12" s="62">
        <f t="shared" si="0"/>
        <v>0</v>
      </c>
      <c r="E12" s="62">
        <f t="shared" si="0"/>
        <v>0</v>
      </c>
      <c r="F12" s="62">
        <f t="shared" si="0"/>
        <v>467</v>
      </c>
      <c r="G12" s="62">
        <f t="shared" si="0"/>
        <v>81</v>
      </c>
      <c r="H12" s="62">
        <f t="shared" si="0"/>
        <v>1517</v>
      </c>
      <c r="I12" s="62">
        <f t="shared" si="0"/>
        <v>257</v>
      </c>
      <c r="J12" s="62">
        <f t="shared" si="0"/>
        <v>3220239</v>
      </c>
      <c r="K12" s="62">
        <f t="shared" si="0"/>
        <v>210343.58417260001</v>
      </c>
      <c r="L12" s="62">
        <f t="shared" si="0"/>
        <v>30537810</v>
      </c>
      <c r="M12" s="62">
        <f t="shared" si="0"/>
        <v>1023382.8797291999</v>
      </c>
      <c r="N12" s="69">
        <f t="shared" si="0"/>
        <v>1425023</v>
      </c>
      <c r="O12" s="62">
        <f t="shared" si="0"/>
        <v>50048</v>
      </c>
      <c r="P12" s="9">
        <f t="shared" si="0"/>
        <v>2658462</v>
      </c>
      <c r="Q12" s="71">
        <f t="shared" si="0"/>
        <v>102962</v>
      </c>
      <c r="R12" s="62">
        <f t="shared" si="0"/>
        <v>29223</v>
      </c>
      <c r="S12" s="62">
        <f t="shared" si="0"/>
        <v>3121</v>
      </c>
      <c r="T12" s="62">
        <f t="shared" si="0"/>
        <v>89847</v>
      </c>
      <c r="U12" s="62">
        <f t="shared" si="0"/>
        <v>9440</v>
      </c>
      <c r="V12" s="62">
        <f t="shared" si="0"/>
        <v>148340</v>
      </c>
      <c r="W12" s="62">
        <f t="shared" si="0"/>
        <v>2892</v>
      </c>
      <c r="X12" s="62">
        <f t="shared" si="0"/>
        <v>343922</v>
      </c>
      <c r="Y12" s="62">
        <f t="shared" si="0"/>
        <v>7157</v>
      </c>
      <c r="Z12" s="9">
        <f>Z13-Z11-Z10-Z9-Z8-Z7-Z6</f>
        <v>498006</v>
      </c>
      <c r="AA12" s="9">
        <f>AA13-AA11-AA10-AA9-AA8-AA7-AA6</f>
        <v>18097</v>
      </c>
      <c r="AB12" s="9">
        <f>AB13-AB11-AB10-AB9-AB8-AB7-AB6</f>
        <v>1388883</v>
      </c>
      <c r="AC12" s="9">
        <f>AC13-AC11-AC10-AC9-AC8-AC7-AC6</f>
        <v>47011</v>
      </c>
      <c r="AD12" s="74">
        <f t="shared" si="0"/>
        <v>-110</v>
      </c>
      <c r="AE12" s="74">
        <f t="shared" si="0"/>
        <v>-4550.18</v>
      </c>
      <c r="AF12" s="74">
        <f t="shared" si="0"/>
        <v>-463</v>
      </c>
      <c r="AG12" s="74">
        <f t="shared" si="0"/>
        <v>-12053.39</v>
      </c>
      <c r="AH12" s="9">
        <f t="shared" si="0"/>
        <v>8936</v>
      </c>
      <c r="AI12" s="9">
        <f t="shared" si="0"/>
        <v>645.80000000000018</v>
      </c>
      <c r="AJ12" s="9">
        <f t="shared" si="0"/>
        <v>27479</v>
      </c>
      <c r="AK12" s="9">
        <f t="shared" si="0"/>
        <v>1718.96</v>
      </c>
      <c r="AL12" s="62">
        <f t="shared" si="0"/>
        <v>111961</v>
      </c>
      <c r="AM12" s="62">
        <f t="shared" si="0"/>
        <v>9168.4700000000012</v>
      </c>
      <c r="AN12" s="62">
        <f t="shared" si="0"/>
        <v>287123</v>
      </c>
      <c r="AO12" s="62">
        <f t="shared" si="0"/>
        <v>21691.22</v>
      </c>
      <c r="AP12" s="62">
        <f t="shared" si="0"/>
        <v>413973</v>
      </c>
      <c r="AQ12" s="62">
        <f t="shared" si="0"/>
        <v>24136</v>
      </c>
      <c r="AR12" s="62">
        <f t="shared" si="0"/>
        <v>1054805</v>
      </c>
      <c r="AS12" s="62">
        <f t="shared" si="0"/>
        <v>57116</v>
      </c>
      <c r="AT12" s="74">
        <f t="shared" si="0"/>
        <v>3090742</v>
      </c>
      <c r="AU12" s="74">
        <f t="shared" si="0"/>
        <v>49493</v>
      </c>
      <c r="AV12" s="74">
        <f t="shared" si="0"/>
        <v>6491889</v>
      </c>
      <c r="AW12" s="74">
        <f t="shared" si="0"/>
        <v>117291</v>
      </c>
      <c r="AX12" s="74">
        <f t="shared" si="0"/>
        <v>1186272</v>
      </c>
      <c r="AY12" s="74">
        <f t="shared" si="0"/>
        <v>29420.619999999988</v>
      </c>
      <c r="AZ12" s="74">
        <f t="shared" si="0"/>
        <v>2639251</v>
      </c>
      <c r="BA12" s="74">
        <f t="shared" si="0"/>
        <v>63468.34</v>
      </c>
      <c r="BB12" s="74">
        <f t="shared" si="0"/>
        <v>11725</v>
      </c>
      <c r="BC12" s="74">
        <f t="shared" si="0"/>
        <v>1279</v>
      </c>
      <c r="BD12" s="74">
        <f t="shared" si="0"/>
        <v>29216</v>
      </c>
      <c r="BE12" s="74">
        <f t="shared" si="0"/>
        <v>3050</v>
      </c>
      <c r="BF12" s="74">
        <f t="shared" si="0"/>
        <v>233768</v>
      </c>
      <c r="BG12" s="74">
        <f t="shared" si="0"/>
        <v>5988.3200000000006</v>
      </c>
      <c r="BH12" s="74">
        <f t="shared" si="0"/>
        <v>535060</v>
      </c>
      <c r="BI12" s="74">
        <f t="shared" si="0"/>
        <v>14567.050000000003</v>
      </c>
      <c r="BJ12" s="9">
        <f t="shared" si="0"/>
        <v>148960</v>
      </c>
      <c r="BK12" s="9">
        <f t="shared" si="0"/>
        <v>13241</v>
      </c>
      <c r="BL12" s="9">
        <f t="shared" si="0"/>
        <v>364645</v>
      </c>
      <c r="BM12" s="75">
        <f t="shared" si="0"/>
        <v>31846</v>
      </c>
      <c r="BN12" s="74">
        <f t="shared" si="0"/>
        <v>689</v>
      </c>
      <c r="BO12" s="74">
        <f t="shared" ref="BO12:CW12" si="1">BO13-BO11-BO10-BO9-BO8-BO7-BO6</f>
        <v>186</v>
      </c>
      <c r="BP12" s="74">
        <f t="shared" si="1"/>
        <v>2406</v>
      </c>
      <c r="BQ12" s="74">
        <f t="shared" si="1"/>
        <v>580</v>
      </c>
      <c r="BR12" s="74">
        <f t="shared" si="1"/>
        <v>9671</v>
      </c>
      <c r="BS12" s="74">
        <f t="shared" si="1"/>
        <v>724</v>
      </c>
      <c r="BT12" s="74">
        <f t="shared" si="1"/>
        <v>10236</v>
      </c>
      <c r="BU12" s="74">
        <f t="shared" si="1"/>
        <v>1981</v>
      </c>
      <c r="BV12" s="9">
        <f t="shared" si="1"/>
        <v>86406</v>
      </c>
      <c r="BW12" s="9">
        <f t="shared" si="1"/>
        <v>6958.2300000000105</v>
      </c>
      <c r="BX12" s="9">
        <f t="shared" si="1"/>
        <v>104670</v>
      </c>
      <c r="BY12" s="9">
        <f t="shared" si="1"/>
        <v>16507.77999999997</v>
      </c>
      <c r="BZ12" s="9">
        <f t="shared" si="1"/>
        <v>-1</v>
      </c>
      <c r="CA12" s="9">
        <f t="shared" si="1"/>
        <v>160</v>
      </c>
      <c r="CB12" s="9">
        <f t="shared" si="1"/>
        <v>931</v>
      </c>
      <c r="CC12" s="75">
        <f t="shared" si="1"/>
        <v>572</v>
      </c>
      <c r="CD12" s="74">
        <f t="shared" si="1"/>
        <v>2004</v>
      </c>
      <c r="CE12" s="74">
        <f t="shared" si="1"/>
        <v>224.44999999999879</v>
      </c>
      <c r="CF12" s="74">
        <f t="shared" si="1"/>
        <v>7092</v>
      </c>
      <c r="CG12" s="74">
        <f t="shared" si="1"/>
        <v>820.59000000000276</v>
      </c>
      <c r="CH12" s="74">
        <f t="shared" si="1"/>
        <v>420681</v>
      </c>
      <c r="CI12" s="74">
        <f t="shared" si="1"/>
        <v>20061</v>
      </c>
      <c r="CJ12" s="74">
        <f t="shared" si="1"/>
        <v>938550</v>
      </c>
      <c r="CK12" s="74">
        <f t="shared" si="1"/>
        <v>45686</v>
      </c>
      <c r="CL12" s="9">
        <f>CL13-CL11-CL10-CL9-CL8-CL7-CL6</f>
        <v>276339</v>
      </c>
      <c r="CM12" s="9">
        <f t="shared" si="1"/>
        <v>19618</v>
      </c>
      <c r="CN12" s="9">
        <f t="shared" si="1"/>
        <v>680266</v>
      </c>
      <c r="CO12" s="9">
        <f t="shared" si="1"/>
        <v>49980</v>
      </c>
      <c r="CP12" s="74">
        <f t="shared" si="1"/>
        <v>48670</v>
      </c>
      <c r="CQ12" s="74">
        <f t="shared" si="1"/>
        <v>790</v>
      </c>
      <c r="CR12" s="74">
        <f t="shared" si="1"/>
        <v>200157</v>
      </c>
      <c r="CS12" s="74">
        <f t="shared" si="1"/>
        <v>7785</v>
      </c>
      <c r="CT12" s="74">
        <f t="shared" si="1"/>
        <v>847832.82000000007</v>
      </c>
      <c r="CU12" s="74">
        <f t="shared" si="1"/>
        <v>23207.689999999991</v>
      </c>
      <c r="CV12" s="74">
        <f t="shared" si="1"/>
        <v>1837996</v>
      </c>
      <c r="CW12" s="74">
        <f t="shared" si="1"/>
        <v>59366.41</v>
      </c>
      <c r="CX12" s="74">
        <f t="shared" ref="CX12:DR12" si="2">CX13-CX11-CX10-CX9-CX8-CX7-CX6</f>
        <v>3859</v>
      </c>
      <c r="CY12" s="74">
        <f>CY13-CY11-CY10-CY9-CY8-CY7-CY6</f>
        <v>582</v>
      </c>
      <c r="CZ12" s="74">
        <f t="shared" si="2"/>
        <v>11754</v>
      </c>
      <c r="DA12" s="74">
        <f t="shared" si="2"/>
        <v>1773</v>
      </c>
      <c r="DB12" s="74">
        <f t="shared" si="2"/>
        <v>327521</v>
      </c>
      <c r="DC12" s="74">
        <f t="shared" si="2"/>
        <v>36020</v>
      </c>
      <c r="DD12" s="74">
        <f t="shared" si="2"/>
        <v>871824</v>
      </c>
      <c r="DE12" s="74">
        <f t="shared" si="2"/>
        <v>86954</v>
      </c>
      <c r="DF12" s="74">
        <f t="shared" si="2"/>
        <v>2391686</v>
      </c>
      <c r="DG12" s="74">
        <f t="shared" si="2"/>
        <v>74787.329600000056</v>
      </c>
      <c r="DH12" s="74">
        <f t="shared" si="2"/>
        <v>5706730</v>
      </c>
      <c r="DI12" s="74">
        <f t="shared" si="2"/>
        <v>186782.46199999994</v>
      </c>
      <c r="DJ12" s="74">
        <f t="shared" si="2"/>
        <v>97249</v>
      </c>
      <c r="DK12" s="74">
        <f t="shared" si="2"/>
        <v>14795.289999999979</v>
      </c>
      <c r="DL12" s="74">
        <f t="shared" si="2"/>
        <v>737469</v>
      </c>
      <c r="DM12" s="74">
        <f t="shared" si="2"/>
        <v>59701.689999999944</v>
      </c>
      <c r="DN12" s="74">
        <f t="shared" si="2"/>
        <v>194983</v>
      </c>
      <c r="DO12" s="74">
        <f t="shared" si="2"/>
        <v>11457.140000000014</v>
      </c>
      <c r="DP12" s="74">
        <f t="shared" si="2"/>
        <v>535446</v>
      </c>
      <c r="DQ12" s="74">
        <f t="shared" si="2"/>
        <v>84278.190000000061</v>
      </c>
      <c r="DR12" s="74">
        <f t="shared" si="2"/>
        <v>91691</v>
      </c>
      <c r="DS12" s="74">
        <f t="shared" ref="DS12:DU12" si="3">DS13-DS11-DS10-DS9-DS8-DS7-DS6</f>
        <v>7271.4399999999987</v>
      </c>
      <c r="DT12" s="74">
        <f t="shared" si="3"/>
        <v>269264</v>
      </c>
      <c r="DU12" s="74">
        <f t="shared" si="3"/>
        <v>24005.029999999995</v>
      </c>
    </row>
    <row r="13" spans="1:125" s="7" customFormat="1" x14ac:dyDescent="0.25">
      <c r="A13" s="10" t="s">
        <v>118</v>
      </c>
      <c r="B13" s="10">
        <v>679840</v>
      </c>
      <c r="C13" s="10">
        <v>37673</v>
      </c>
      <c r="D13" s="10">
        <v>1761147</v>
      </c>
      <c r="E13" s="10">
        <v>108282</v>
      </c>
      <c r="F13" s="10">
        <v>137821</v>
      </c>
      <c r="G13" s="10">
        <v>58783</v>
      </c>
      <c r="H13" s="10">
        <v>447238</v>
      </c>
      <c r="I13" s="10">
        <v>185844</v>
      </c>
      <c r="J13" s="10">
        <v>5010965</v>
      </c>
      <c r="K13" s="10">
        <v>219707.19</v>
      </c>
      <c r="L13" s="10">
        <v>38917811</v>
      </c>
      <c r="M13" s="10">
        <v>1110199.69</v>
      </c>
      <c r="N13" s="10">
        <v>7900274</v>
      </c>
      <c r="O13" s="10">
        <v>377737</v>
      </c>
      <c r="P13" s="10">
        <v>19625883</v>
      </c>
      <c r="Q13" s="10">
        <v>1160860</v>
      </c>
      <c r="R13" s="10">
        <v>483951</v>
      </c>
      <c r="S13" s="10">
        <v>125077</v>
      </c>
      <c r="T13" s="10">
        <v>1408758</v>
      </c>
      <c r="U13" s="10">
        <v>364606</v>
      </c>
      <c r="V13" s="10">
        <v>3410433</v>
      </c>
      <c r="W13" s="10">
        <v>162481</v>
      </c>
      <c r="X13" s="10">
        <v>8614266</v>
      </c>
      <c r="Y13" s="10">
        <v>438889</v>
      </c>
      <c r="Z13" s="10">
        <v>3029314</v>
      </c>
      <c r="AA13" s="10">
        <v>156841</v>
      </c>
      <c r="AB13" s="10">
        <v>7712214</v>
      </c>
      <c r="AC13" s="10">
        <v>453452</v>
      </c>
      <c r="AD13" s="76">
        <v>972</v>
      </c>
      <c r="AE13" s="76">
        <v>8451.98</v>
      </c>
      <c r="AF13" s="76">
        <v>2629</v>
      </c>
      <c r="AG13" s="76">
        <v>26049.040000000001</v>
      </c>
      <c r="AH13" s="10">
        <v>111663</v>
      </c>
      <c r="AI13" s="10">
        <v>14347.73</v>
      </c>
      <c r="AJ13" s="10">
        <v>294309</v>
      </c>
      <c r="AK13" s="10">
        <v>41241.01</v>
      </c>
      <c r="AL13" s="10">
        <v>838269</v>
      </c>
      <c r="AM13" s="10">
        <v>119648.43</v>
      </c>
      <c r="AN13" s="10">
        <v>2526323</v>
      </c>
      <c r="AO13" s="10">
        <v>311743.31</v>
      </c>
      <c r="AP13" s="10">
        <v>2462979</v>
      </c>
      <c r="AQ13" s="10">
        <v>393098</v>
      </c>
      <c r="AR13" s="10">
        <v>6693869</v>
      </c>
      <c r="AS13" s="10">
        <v>1193303</v>
      </c>
      <c r="AT13" s="10">
        <v>10609386</v>
      </c>
      <c r="AU13" s="10">
        <v>549302</v>
      </c>
      <c r="AV13" s="10">
        <v>23388741</v>
      </c>
      <c r="AW13" s="10">
        <v>1604812</v>
      </c>
      <c r="AX13" s="10">
        <v>2984386</v>
      </c>
      <c r="AY13" s="10">
        <v>256878.53</v>
      </c>
      <c r="AZ13" s="10">
        <v>7233712</v>
      </c>
      <c r="BA13" s="10">
        <v>711649.62</v>
      </c>
      <c r="BB13" s="10">
        <v>901719</v>
      </c>
      <c r="BC13" s="10">
        <v>28602</v>
      </c>
      <c r="BD13" s="10">
        <v>2849779</v>
      </c>
      <c r="BE13" s="10">
        <v>78603</v>
      </c>
      <c r="BF13" s="10">
        <v>1017607</v>
      </c>
      <c r="BG13" s="10">
        <v>52401.16</v>
      </c>
      <c r="BH13" s="10">
        <v>2481339</v>
      </c>
      <c r="BI13" s="10">
        <v>143277.75</v>
      </c>
      <c r="BJ13" s="10">
        <v>804449</v>
      </c>
      <c r="BK13" s="10">
        <v>69396</v>
      </c>
      <c r="BL13" s="10">
        <v>1918008</v>
      </c>
      <c r="BM13" s="10">
        <v>182602</v>
      </c>
      <c r="BN13" s="10">
        <v>83712</v>
      </c>
      <c r="BO13" s="10">
        <v>34357</v>
      </c>
      <c r="BP13" s="10">
        <v>248299</v>
      </c>
      <c r="BQ13" s="10">
        <v>93871</v>
      </c>
      <c r="BR13" s="10">
        <v>1122233</v>
      </c>
      <c r="BS13" s="10">
        <v>99296</v>
      </c>
      <c r="BT13" s="10">
        <v>1138844</v>
      </c>
      <c r="BU13" s="10">
        <v>273871</v>
      </c>
      <c r="BV13" s="10">
        <v>4008723</v>
      </c>
      <c r="BW13" s="10">
        <v>364910.81</v>
      </c>
      <c r="BX13" s="10">
        <v>10341815</v>
      </c>
      <c r="BY13" s="10">
        <v>1154812.29</v>
      </c>
      <c r="BZ13" s="10">
        <v>50611</v>
      </c>
      <c r="CA13" s="10">
        <v>1830</v>
      </c>
      <c r="CB13" s="10">
        <v>164592</v>
      </c>
      <c r="CC13" s="10">
        <v>5560</v>
      </c>
      <c r="CD13" s="10">
        <v>34915</v>
      </c>
      <c r="CE13" s="10">
        <v>8968.0499999999993</v>
      </c>
      <c r="CF13" s="10">
        <v>140202</v>
      </c>
      <c r="CG13" s="10">
        <v>33748.800000000003</v>
      </c>
      <c r="CH13" s="10">
        <v>2589544</v>
      </c>
      <c r="CI13" s="10">
        <v>243841</v>
      </c>
      <c r="CJ13" s="10">
        <v>5917970</v>
      </c>
      <c r="CK13" s="10">
        <v>809697</v>
      </c>
      <c r="CL13" s="10">
        <v>923891</v>
      </c>
      <c r="CM13" s="10">
        <v>90821</v>
      </c>
      <c r="CN13" s="10">
        <v>2222332</v>
      </c>
      <c r="CO13" s="10">
        <v>245861</v>
      </c>
      <c r="CP13" s="10">
        <v>1809665</v>
      </c>
      <c r="CQ13" s="10">
        <v>191232</v>
      </c>
      <c r="CR13" s="10">
        <v>9687410</v>
      </c>
      <c r="CS13" s="10">
        <v>689942</v>
      </c>
      <c r="CT13" s="10">
        <v>1527028</v>
      </c>
      <c r="CU13" s="10">
        <v>60275.34</v>
      </c>
      <c r="CV13" s="10">
        <v>3619376</v>
      </c>
      <c r="CW13" s="10">
        <v>159407.9</v>
      </c>
      <c r="CX13" s="10">
        <v>1975134</v>
      </c>
      <c r="CY13" s="10">
        <v>309668</v>
      </c>
      <c r="CZ13" s="10">
        <v>5669022</v>
      </c>
      <c r="DA13" s="10">
        <v>875324</v>
      </c>
      <c r="DB13" s="10">
        <v>3582353</v>
      </c>
      <c r="DC13" s="10">
        <v>339719</v>
      </c>
      <c r="DD13" s="10">
        <v>8891098</v>
      </c>
      <c r="DE13" s="10">
        <v>935021</v>
      </c>
      <c r="DF13" s="10">
        <v>8387982</v>
      </c>
      <c r="DG13" s="10">
        <v>811697.81960000005</v>
      </c>
      <c r="DH13" s="10">
        <v>22168435</v>
      </c>
      <c r="DI13" s="10">
        <v>2531484.1919999998</v>
      </c>
      <c r="DJ13" s="10">
        <v>1815106</v>
      </c>
      <c r="DK13" s="10">
        <v>349087.36</v>
      </c>
      <c r="DL13" s="10">
        <v>5043905</v>
      </c>
      <c r="DM13" s="10">
        <v>1149483.71</v>
      </c>
      <c r="DN13" s="10">
        <v>3365586</v>
      </c>
      <c r="DO13" s="10">
        <v>395527.89</v>
      </c>
      <c r="DP13" s="10">
        <v>9065571</v>
      </c>
      <c r="DQ13" s="10">
        <v>1274268.8600000001</v>
      </c>
      <c r="DR13" s="10">
        <v>688980</v>
      </c>
      <c r="DS13" s="10">
        <v>105725.75999999999</v>
      </c>
      <c r="DT13" s="10">
        <v>2288610</v>
      </c>
      <c r="DU13" s="10">
        <v>313811.93</v>
      </c>
    </row>
    <row r="14" spans="1:125" x14ac:dyDescent="0.25">
      <c r="A14" s="9" t="s">
        <v>119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62"/>
      <c r="W14" s="62"/>
      <c r="X14" s="62"/>
      <c r="Y14" s="62"/>
      <c r="Z14" s="9"/>
      <c r="AA14" s="9"/>
      <c r="AB14" s="9"/>
      <c r="AC14" s="9"/>
      <c r="AD14" s="74"/>
      <c r="AE14" s="74"/>
      <c r="AF14" s="74"/>
      <c r="AG14" s="74"/>
      <c r="AH14" s="9"/>
      <c r="AI14" s="9"/>
      <c r="AJ14" s="9"/>
      <c r="AK14" s="9"/>
      <c r="AL14" s="62"/>
      <c r="AM14" s="62"/>
      <c r="AN14" s="62"/>
      <c r="AO14" s="62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78"/>
      <c r="BS14" s="78"/>
      <c r="BT14" s="79"/>
      <c r="BU14" s="7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74"/>
      <c r="CU14" s="74"/>
      <c r="CV14" s="74"/>
      <c r="CW14" s="74"/>
      <c r="CX14" s="9"/>
      <c r="CY14" s="9"/>
      <c r="CZ14" s="9"/>
      <c r="DA14" s="9"/>
      <c r="DB14" s="9"/>
      <c r="DC14" s="9"/>
      <c r="DD14" s="9"/>
      <c r="DE14" s="9"/>
      <c r="DF14" s="74"/>
      <c r="DG14" s="74">
        <v>79029.3</v>
      </c>
      <c r="DH14" s="74"/>
      <c r="DI14" s="74">
        <v>216500.04</v>
      </c>
      <c r="DJ14" s="62"/>
      <c r="DK14" s="62"/>
      <c r="DL14" s="62"/>
      <c r="DM14" s="62"/>
      <c r="DN14" s="74"/>
      <c r="DO14" s="74"/>
      <c r="DP14" s="74"/>
      <c r="DQ14" s="74"/>
      <c r="DR14" s="74"/>
      <c r="DS14" s="74"/>
      <c r="DT14" s="74"/>
      <c r="DU14" s="74"/>
    </row>
    <row r="15" spans="1:125" s="7" customFormat="1" x14ac:dyDescent="0.25">
      <c r="A15" s="10" t="s">
        <v>120</v>
      </c>
      <c r="B15" s="10">
        <f>B13+B14</f>
        <v>679840</v>
      </c>
      <c r="C15" s="10">
        <f t="shared" ref="C15:BN15" si="4">C13+C14</f>
        <v>37673</v>
      </c>
      <c r="D15" s="10">
        <f t="shared" si="4"/>
        <v>1761147</v>
      </c>
      <c r="E15" s="10">
        <f t="shared" si="4"/>
        <v>108282</v>
      </c>
      <c r="F15" s="10">
        <f t="shared" si="4"/>
        <v>137821</v>
      </c>
      <c r="G15" s="10">
        <f t="shared" si="4"/>
        <v>58783</v>
      </c>
      <c r="H15" s="10">
        <f t="shared" si="4"/>
        <v>447238</v>
      </c>
      <c r="I15" s="10">
        <f t="shared" si="4"/>
        <v>185844</v>
      </c>
      <c r="J15" s="10">
        <f t="shared" si="4"/>
        <v>5010965</v>
      </c>
      <c r="K15" s="10">
        <f t="shared" si="4"/>
        <v>219707.19</v>
      </c>
      <c r="L15" s="10">
        <f t="shared" si="4"/>
        <v>38917811</v>
      </c>
      <c r="M15" s="10">
        <f t="shared" si="4"/>
        <v>1110199.69</v>
      </c>
      <c r="N15" s="10">
        <f t="shared" si="4"/>
        <v>7900274</v>
      </c>
      <c r="O15" s="10">
        <f t="shared" si="4"/>
        <v>377737</v>
      </c>
      <c r="P15" s="10">
        <f t="shared" si="4"/>
        <v>19625883</v>
      </c>
      <c r="Q15" s="10">
        <f t="shared" si="4"/>
        <v>1160860</v>
      </c>
      <c r="R15" s="10">
        <f t="shared" si="4"/>
        <v>483951</v>
      </c>
      <c r="S15" s="10">
        <f t="shared" si="4"/>
        <v>125077</v>
      </c>
      <c r="T15" s="10">
        <f t="shared" si="4"/>
        <v>1408758</v>
      </c>
      <c r="U15" s="10">
        <f t="shared" si="4"/>
        <v>364606</v>
      </c>
      <c r="V15" s="10">
        <f t="shared" si="4"/>
        <v>3410433</v>
      </c>
      <c r="W15" s="10">
        <f t="shared" si="4"/>
        <v>162481</v>
      </c>
      <c r="X15" s="10">
        <f t="shared" si="4"/>
        <v>8614266</v>
      </c>
      <c r="Y15" s="10">
        <f t="shared" si="4"/>
        <v>438889</v>
      </c>
      <c r="Z15" s="10">
        <f>Z13+Z14</f>
        <v>3029314</v>
      </c>
      <c r="AA15" s="10">
        <f>AA13+AA14</f>
        <v>156841</v>
      </c>
      <c r="AB15" s="10">
        <f>AB13+AB14</f>
        <v>7712214</v>
      </c>
      <c r="AC15" s="10">
        <f>AC13+AC14</f>
        <v>453452</v>
      </c>
      <c r="AD15" s="76">
        <f t="shared" si="4"/>
        <v>972</v>
      </c>
      <c r="AE15" s="76">
        <f t="shared" si="4"/>
        <v>8451.98</v>
      </c>
      <c r="AF15" s="76">
        <f t="shared" si="4"/>
        <v>2629</v>
      </c>
      <c r="AG15" s="76">
        <f t="shared" si="4"/>
        <v>26049.040000000001</v>
      </c>
      <c r="AH15" s="10">
        <f t="shared" si="4"/>
        <v>111663</v>
      </c>
      <c r="AI15" s="10">
        <f t="shared" si="4"/>
        <v>14347.73</v>
      </c>
      <c r="AJ15" s="10">
        <f t="shared" si="4"/>
        <v>294309</v>
      </c>
      <c r="AK15" s="10">
        <f t="shared" si="4"/>
        <v>41241.01</v>
      </c>
      <c r="AL15" s="10">
        <f t="shared" si="4"/>
        <v>838269</v>
      </c>
      <c r="AM15" s="10">
        <f t="shared" si="4"/>
        <v>119648.43</v>
      </c>
      <c r="AN15" s="10">
        <f t="shared" si="4"/>
        <v>2526323</v>
      </c>
      <c r="AO15" s="10">
        <f t="shared" si="4"/>
        <v>311743.31</v>
      </c>
      <c r="AP15" s="10">
        <f t="shared" si="4"/>
        <v>2462979</v>
      </c>
      <c r="AQ15" s="10">
        <f t="shared" si="4"/>
        <v>393098</v>
      </c>
      <c r="AR15" s="10">
        <f t="shared" si="4"/>
        <v>6693869</v>
      </c>
      <c r="AS15" s="10">
        <f t="shared" si="4"/>
        <v>1193303</v>
      </c>
      <c r="AT15" s="10">
        <f t="shared" si="4"/>
        <v>10609386</v>
      </c>
      <c r="AU15" s="10">
        <f t="shared" si="4"/>
        <v>549302</v>
      </c>
      <c r="AV15" s="10">
        <f t="shared" si="4"/>
        <v>23388741</v>
      </c>
      <c r="AW15" s="10">
        <f t="shared" si="4"/>
        <v>1604812</v>
      </c>
      <c r="AX15" s="10">
        <f t="shared" si="4"/>
        <v>2984386</v>
      </c>
      <c r="AY15" s="10">
        <f t="shared" si="4"/>
        <v>256878.53</v>
      </c>
      <c r="AZ15" s="10">
        <f t="shared" si="4"/>
        <v>7233712</v>
      </c>
      <c r="BA15" s="10">
        <f t="shared" si="4"/>
        <v>711649.62</v>
      </c>
      <c r="BB15" s="10">
        <f t="shared" si="4"/>
        <v>901719</v>
      </c>
      <c r="BC15" s="10">
        <f t="shared" si="4"/>
        <v>28602</v>
      </c>
      <c r="BD15" s="10">
        <f t="shared" si="4"/>
        <v>2849779</v>
      </c>
      <c r="BE15" s="10">
        <f t="shared" si="4"/>
        <v>78603</v>
      </c>
      <c r="BF15" s="10">
        <f t="shared" si="4"/>
        <v>1017607</v>
      </c>
      <c r="BG15" s="10">
        <f t="shared" si="4"/>
        <v>52401.16</v>
      </c>
      <c r="BH15" s="10">
        <f t="shared" si="4"/>
        <v>2481339</v>
      </c>
      <c r="BI15" s="10">
        <f t="shared" si="4"/>
        <v>143277.75</v>
      </c>
      <c r="BJ15" s="10">
        <f t="shared" si="4"/>
        <v>804449</v>
      </c>
      <c r="BK15" s="10">
        <f t="shared" si="4"/>
        <v>69396</v>
      </c>
      <c r="BL15" s="10">
        <f t="shared" si="4"/>
        <v>1918008</v>
      </c>
      <c r="BM15" s="10">
        <f t="shared" si="4"/>
        <v>182602</v>
      </c>
      <c r="BN15" s="10">
        <f t="shared" si="4"/>
        <v>83712</v>
      </c>
      <c r="BO15" s="10">
        <f t="shared" ref="BO15:CW15" si="5">BO13+BO14</f>
        <v>34357</v>
      </c>
      <c r="BP15" s="10">
        <f t="shared" si="5"/>
        <v>248299</v>
      </c>
      <c r="BQ15" s="10">
        <f t="shared" si="5"/>
        <v>93871</v>
      </c>
      <c r="BR15" s="10">
        <f t="shared" si="5"/>
        <v>1122233</v>
      </c>
      <c r="BS15" s="10">
        <f t="shared" si="5"/>
        <v>99296</v>
      </c>
      <c r="BT15" s="10">
        <f t="shared" si="5"/>
        <v>1138844</v>
      </c>
      <c r="BU15" s="10">
        <f t="shared" si="5"/>
        <v>273871</v>
      </c>
      <c r="BV15" s="10">
        <f t="shared" si="5"/>
        <v>4008723</v>
      </c>
      <c r="BW15" s="10">
        <f t="shared" si="5"/>
        <v>364910.81</v>
      </c>
      <c r="BX15" s="10">
        <f t="shared" si="5"/>
        <v>10341815</v>
      </c>
      <c r="BY15" s="10">
        <f t="shared" si="5"/>
        <v>1154812.29</v>
      </c>
      <c r="BZ15" s="10">
        <f t="shared" si="5"/>
        <v>50611</v>
      </c>
      <c r="CA15" s="10">
        <f t="shared" si="5"/>
        <v>1830</v>
      </c>
      <c r="CB15" s="10">
        <f t="shared" si="5"/>
        <v>164592</v>
      </c>
      <c r="CC15" s="10">
        <f t="shared" si="5"/>
        <v>5560</v>
      </c>
      <c r="CD15" s="10">
        <f t="shared" si="5"/>
        <v>34915</v>
      </c>
      <c r="CE15" s="10">
        <f t="shared" si="5"/>
        <v>8968.0499999999993</v>
      </c>
      <c r="CF15" s="10">
        <f t="shared" si="5"/>
        <v>140202</v>
      </c>
      <c r="CG15" s="10">
        <f t="shared" si="5"/>
        <v>33748.800000000003</v>
      </c>
      <c r="CH15" s="10">
        <f t="shared" si="5"/>
        <v>2589544</v>
      </c>
      <c r="CI15" s="10">
        <f t="shared" si="5"/>
        <v>243841</v>
      </c>
      <c r="CJ15" s="10">
        <f t="shared" si="5"/>
        <v>5917970</v>
      </c>
      <c r="CK15" s="10">
        <f t="shared" si="5"/>
        <v>809697</v>
      </c>
      <c r="CL15" s="10">
        <f>CL13+CL14</f>
        <v>923891</v>
      </c>
      <c r="CM15" s="10">
        <f t="shared" si="5"/>
        <v>90821</v>
      </c>
      <c r="CN15" s="10">
        <f t="shared" si="5"/>
        <v>2222332</v>
      </c>
      <c r="CO15" s="10">
        <f t="shared" si="5"/>
        <v>245861</v>
      </c>
      <c r="CP15" s="10">
        <f t="shared" si="5"/>
        <v>1809665</v>
      </c>
      <c r="CQ15" s="10">
        <f t="shared" si="5"/>
        <v>191232</v>
      </c>
      <c r="CR15" s="10">
        <f t="shared" si="5"/>
        <v>9687410</v>
      </c>
      <c r="CS15" s="10">
        <f t="shared" si="5"/>
        <v>689942</v>
      </c>
      <c r="CT15" s="10">
        <f t="shared" si="5"/>
        <v>1527028</v>
      </c>
      <c r="CU15" s="10">
        <f t="shared" si="5"/>
        <v>60275.34</v>
      </c>
      <c r="CV15" s="10">
        <f t="shared" si="5"/>
        <v>3619376</v>
      </c>
      <c r="CW15" s="10">
        <f t="shared" si="5"/>
        <v>159407.9</v>
      </c>
      <c r="CX15" s="10">
        <f t="shared" ref="CX15:DR15" si="6">CX13+CX14</f>
        <v>1975134</v>
      </c>
      <c r="CY15" s="10">
        <f t="shared" si="6"/>
        <v>309668</v>
      </c>
      <c r="CZ15" s="10">
        <f t="shared" si="6"/>
        <v>5669022</v>
      </c>
      <c r="DA15" s="10">
        <f t="shared" si="6"/>
        <v>875324</v>
      </c>
      <c r="DB15" s="10">
        <f t="shared" si="6"/>
        <v>3582353</v>
      </c>
      <c r="DC15" s="10">
        <f t="shared" si="6"/>
        <v>339719</v>
      </c>
      <c r="DD15" s="10">
        <f t="shared" si="6"/>
        <v>8891098</v>
      </c>
      <c r="DE15" s="10">
        <f t="shared" si="6"/>
        <v>935021</v>
      </c>
      <c r="DF15" s="10">
        <f t="shared" si="6"/>
        <v>8387982</v>
      </c>
      <c r="DG15" s="10">
        <f t="shared" si="6"/>
        <v>890727.11960000009</v>
      </c>
      <c r="DH15" s="10">
        <f t="shared" si="6"/>
        <v>22168435</v>
      </c>
      <c r="DI15" s="10">
        <f t="shared" si="6"/>
        <v>2747984.2319999998</v>
      </c>
      <c r="DJ15" s="10">
        <f t="shared" si="6"/>
        <v>1815106</v>
      </c>
      <c r="DK15" s="10">
        <f t="shared" si="6"/>
        <v>349087.36</v>
      </c>
      <c r="DL15" s="10">
        <f t="shared" si="6"/>
        <v>5043905</v>
      </c>
      <c r="DM15" s="10">
        <f t="shared" si="6"/>
        <v>1149483.71</v>
      </c>
      <c r="DN15" s="10">
        <f t="shared" si="6"/>
        <v>3365586</v>
      </c>
      <c r="DO15" s="10">
        <f t="shared" si="6"/>
        <v>395527.89</v>
      </c>
      <c r="DP15" s="10">
        <f t="shared" si="6"/>
        <v>9065571</v>
      </c>
      <c r="DQ15" s="10">
        <f t="shared" si="6"/>
        <v>1274268.8600000001</v>
      </c>
      <c r="DR15" s="10">
        <f t="shared" si="6"/>
        <v>688980</v>
      </c>
      <c r="DS15" s="10">
        <f t="shared" ref="DS15:DU15" si="7">DS13+DS14</f>
        <v>105725.75999999999</v>
      </c>
      <c r="DT15" s="10">
        <f t="shared" si="7"/>
        <v>2288610</v>
      </c>
      <c r="DU15" s="10">
        <f t="shared" si="7"/>
        <v>313811.93</v>
      </c>
    </row>
    <row r="17" spans="73:73" x14ac:dyDescent="0.25">
      <c r="BU17" s="67"/>
    </row>
  </sheetData>
  <mergeCells count="93">
    <mergeCell ref="BJ3:BM3"/>
    <mergeCell ref="BN3:BQ3"/>
    <mergeCell ref="AT4:AU4"/>
    <mergeCell ref="AV4:AW4"/>
    <mergeCell ref="AX4:AY4"/>
    <mergeCell ref="BP4:BQ4"/>
    <mergeCell ref="AZ4:BA4"/>
    <mergeCell ref="BB4:BC4"/>
    <mergeCell ref="BD4:BE4"/>
    <mergeCell ref="BL4:BM4"/>
    <mergeCell ref="BN4:BO4"/>
    <mergeCell ref="BF4:BG4"/>
    <mergeCell ref="BH4:BI4"/>
    <mergeCell ref="BJ4:BK4"/>
    <mergeCell ref="AP3:AS3"/>
    <mergeCell ref="AT3:AW3"/>
    <mergeCell ref="AX3:BA3"/>
    <mergeCell ref="BB3:BE3"/>
    <mergeCell ref="BF3:BI3"/>
    <mergeCell ref="BV3:BY3"/>
    <mergeCell ref="BZ3:CC3"/>
    <mergeCell ref="CD3:CG3"/>
    <mergeCell ref="CH3:CK3"/>
    <mergeCell ref="BR3:BU3"/>
    <mergeCell ref="AJ4:AK4"/>
    <mergeCell ref="AL4:AM4"/>
    <mergeCell ref="V3:Y3"/>
    <mergeCell ref="AD3:AG3"/>
    <mergeCell ref="AH3:AK3"/>
    <mergeCell ref="AL3:AO3"/>
    <mergeCell ref="AN4:AO4"/>
    <mergeCell ref="Z4:AA4"/>
    <mergeCell ref="AB4:AC4"/>
    <mergeCell ref="V4:W4"/>
    <mergeCell ref="X4:Y4"/>
    <mergeCell ref="AD4:AE4"/>
    <mergeCell ref="AF4:AG4"/>
    <mergeCell ref="AH4:AI4"/>
    <mergeCell ref="B3:E3"/>
    <mergeCell ref="F3:I3"/>
    <mergeCell ref="J3:M3"/>
    <mergeCell ref="N3:Q3"/>
    <mergeCell ref="L4:M4"/>
    <mergeCell ref="N4:O4"/>
    <mergeCell ref="P4:Q4"/>
    <mergeCell ref="B4:C4"/>
    <mergeCell ref="D4:E4"/>
    <mergeCell ref="F4:G4"/>
    <mergeCell ref="H4:I4"/>
    <mergeCell ref="J4:K4"/>
    <mergeCell ref="R3:U3"/>
    <mergeCell ref="T4:U4"/>
    <mergeCell ref="Z3:AC3"/>
    <mergeCell ref="CZ4:DA4"/>
    <mergeCell ref="R4:S4"/>
    <mergeCell ref="AP4:AQ4"/>
    <mergeCell ref="AR4:AS4"/>
    <mergeCell ref="CL3:CO3"/>
    <mergeCell ref="CL4:CM4"/>
    <mergeCell ref="CN4:CO4"/>
    <mergeCell ref="CP3:CS3"/>
    <mergeCell ref="CT3:CW3"/>
    <mergeCell ref="CX3:DA3"/>
    <mergeCell ref="CX4:CY4"/>
    <mergeCell ref="BV4:BW4"/>
    <mergeCell ref="BX4:BY4"/>
    <mergeCell ref="DB4:DC4"/>
    <mergeCell ref="DR3:DU3"/>
    <mergeCell ref="DT4:DU4"/>
    <mergeCell ref="DR4:DS4"/>
    <mergeCell ref="DL4:DM4"/>
    <mergeCell ref="DN4:DO4"/>
    <mergeCell ref="DP4:DQ4"/>
    <mergeCell ref="DD4:DE4"/>
    <mergeCell ref="DF3:DI3"/>
    <mergeCell ref="DJ3:DM3"/>
    <mergeCell ref="DN3:DQ3"/>
    <mergeCell ref="DJ4:DK4"/>
    <mergeCell ref="DF4:DG4"/>
    <mergeCell ref="DH4:DI4"/>
    <mergeCell ref="DB3:DE3"/>
    <mergeCell ref="BR4:BS4"/>
    <mergeCell ref="BT4:BU4"/>
    <mergeCell ref="CJ4:CK4"/>
    <mergeCell ref="CP4:CQ4"/>
    <mergeCell ref="CR4:CS4"/>
    <mergeCell ref="CT4:CU4"/>
    <mergeCell ref="CV4:CW4"/>
    <mergeCell ref="BZ4:CA4"/>
    <mergeCell ref="CB4:CC4"/>
    <mergeCell ref="CD4:CE4"/>
    <mergeCell ref="CF4:CG4"/>
    <mergeCell ref="CH4:C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3" width="16" style="6" customWidth="1"/>
    <col min="64" max="65" width="16" style="20" customWidth="1"/>
    <col min="66" max="16384" width="9.140625" style="6"/>
  </cols>
  <sheetData>
    <row r="1" spans="1:65" ht="18.75" x14ac:dyDescent="0.3">
      <c r="A1" s="8" t="s">
        <v>231</v>
      </c>
    </row>
    <row r="2" spans="1:65" x14ac:dyDescent="0.25">
      <c r="A2" s="5" t="s">
        <v>98</v>
      </c>
    </row>
    <row r="3" spans="1:65" x14ac:dyDescent="0.25">
      <c r="A3" s="3" t="s">
        <v>0</v>
      </c>
      <c r="B3" s="127" t="s">
        <v>1</v>
      </c>
      <c r="C3" s="128"/>
      <c r="D3" s="127" t="s">
        <v>232</v>
      </c>
      <c r="E3" s="128"/>
      <c r="F3" s="127" t="s">
        <v>2</v>
      </c>
      <c r="G3" s="128"/>
      <c r="H3" s="127" t="s">
        <v>3</v>
      </c>
      <c r="I3" s="128"/>
      <c r="J3" s="127" t="s">
        <v>241</v>
      </c>
      <c r="K3" s="128"/>
      <c r="L3" s="127" t="s">
        <v>233</v>
      </c>
      <c r="M3" s="128"/>
      <c r="N3" s="127" t="s">
        <v>244</v>
      </c>
      <c r="O3" s="128"/>
      <c r="P3" s="127" t="s">
        <v>5</v>
      </c>
      <c r="Q3" s="128"/>
      <c r="R3" s="127" t="s">
        <v>4</v>
      </c>
      <c r="S3" s="128"/>
      <c r="T3" s="127" t="s">
        <v>6</v>
      </c>
      <c r="U3" s="128"/>
      <c r="V3" s="127" t="s">
        <v>7</v>
      </c>
      <c r="W3" s="128"/>
      <c r="X3" s="127" t="s">
        <v>8</v>
      </c>
      <c r="Y3" s="128"/>
      <c r="Z3" s="127" t="s">
        <v>9</v>
      </c>
      <c r="AA3" s="128"/>
      <c r="AB3" s="127" t="s">
        <v>240</v>
      </c>
      <c r="AC3" s="128"/>
      <c r="AD3" s="127" t="s">
        <v>10</v>
      </c>
      <c r="AE3" s="128"/>
      <c r="AF3" s="127" t="s">
        <v>11</v>
      </c>
      <c r="AG3" s="128"/>
      <c r="AH3" s="127" t="s">
        <v>234</v>
      </c>
      <c r="AI3" s="128"/>
      <c r="AJ3" s="127" t="s">
        <v>12</v>
      </c>
      <c r="AK3" s="128"/>
      <c r="AL3" s="127" t="s">
        <v>235</v>
      </c>
      <c r="AM3" s="128"/>
      <c r="AN3" s="127" t="s">
        <v>293</v>
      </c>
      <c r="AO3" s="128"/>
      <c r="AP3" s="127" t="s">
        <v>236</v>
      </c>
      <c r="AQ3" s="128"/>
      <c r="AR3" s="127" t="s">
        <v>239</v>
      </c>
      <c r="AS3" s="128"/>
      <c r="AT3" s="127" t="s">
        <v>13</v>
      </c>
      <c r="AU3" s="128"/>
      <c r="AV3" s="127" t="s">
        <v>14</v>
      </c>
      <c r="AW3" s="128"/>
      <c r="AX3" s="127" t="s">
        <v>15</v>
      </c>
      <c r="AY3" s="128"/>
      <c r="AZ3" s="127" t="s">
        <v>16</v>
      </c>
      <c r="BA3" s="128"/>
      <c r="BB3" s="127" t="s">
        <v>17</v>
      </c>
      <c r="BC3" s="128"/>
      <c r="BD3" s="127" t="s">
        <v>237</v>
      </c>
      <c r="BE3" s="128"/>
      <c r="BF3" s="127" t="s">
        <v>238</v>
      </c>
      <c r="BG3" s="128"/>
      <c r="BH3" s="127" t="s">
        <v>18</v>
      </c>
      <c r="BI3" s="128"/>
      <c r="BJ3" s="127" t="s">
        <v>19</v>
      </c>
      <c r="BK3" s="128"/>
      <c r="BL3" s="129" t="s">
        <v>20</v>
      </c>
      <c r="BM3" s="130"/>
    </row>
    <row r="4" spans="1:65" ht="30" x14ac:dyDescent="0.25">
      <c r="A4" s="3"/>
      <c r="B4" s="32" t="s">
        <v>299</v>
      </c>
      <c r="C4" s="33" t="s">
        <v>298</v>
      </c>
      <c r="D4" s="32" t="s">
        <v>299</v>
      </c>
      <c r="E4" s="33" t="s">
        <v>298</v>
      </c>
      <c r="F4" s="32" t="s">
        <v>299</v>
      </c>
      <c r="G4" s="33" t="s">
        <v>298</v>
      </c>
      <c r="H4" s="32" t="s">
        <v>299</v>
      </c>
      <c r="I4" s="33" t="s">
        <v>298</v>
      </c>
      <c r="J4" s="32" t="s">
        <v>299</v>
      </c>
      <c r="K4" s="33" t="s">
        <v>298</v>
      </c>
      <c r="L4" s="32" t="s">
        <v>299</v>
      </c>
      <c r="M4" s="33" t="s">
        <v>298</v>
      </c>
      <c r="N4" s="32" t="s">
        <v>299</v>
      </c>
      <c r="O4" s="33" t="s">
        <v>298</v>
      </c>
      <c r="P4" s="32" t="s">
        <v>299</v>
      </c>
      <c r="Q4" s="33" t="s">
        <v>298</v>
      </c>
      <c r="R4" s="32" t="s">
        <v>299</v>
      </c>
      <c r="S4" s="33" t="s">
        <v>298</v>
      </c>
      <c r="T4" s="32" t="s">
        <v>299</v>
      </c>
      <c r="U4" s="33" t="s">
        <v>298</v>
      </c>
      <c r="V4" s="32" t="s">
        <v>299</v>
      </c>
      <c r="W4" s="33" t="s">
        <v>298</v>
      </c>
      <c r="X4" s="32" t="s">
        <v>299</v>
      </c>
      <c r="Y4" s="33" t="s">
        <v>298</v>
      </c>
      <c r="Z4" s="32" t="s">
        <v>299</v>
      </c>
      <c r="AA4" s="33" t="s">
        <v>298</v>
      </c>
      <c r="AB4" s="32" t="s">
        <v>299</v>
      </c>
      <c r="AC4" s="33" t="s">
        <v>298</v>
      </c>
      <c r="AD4" s="32" t="s">
        <v>299</v>
      </c>
      <c r="AE4" s="33" t="s">
        <v>298</v>
      </c>
      <c r="AF4" s="32" t="s">
        <v>299</v>
      </c>
      <c r="AG4" s="33" t="s">
        <v>298</v>
      </c>
      <c r="AH4" s="32" t="s">
        <v>299</v>
      </c>
      <c r="AI4" s="33" t="s">
        <v>298</v>
      </c>
      <c r="AJ4" s="32" t="s">
        <v>299</v>
      </c>
      <c r="AK4" s="33" t="s">
        <v>298</v>
      </c>
      <c r="AL4" s="32" t="s">
        <v>299</v>
      </c>
      <c r="AM4" s="33" t="s">
        <v>298</v>
      </c>
      <c r="AN4" s="32" t="s">
        <v>299</v>
      </c>
      <c r="AO4" s="33" t="s">
        <v>298</v>
      </c>
      <c r="AP4" s="32" t="s">
        <v>299</v>
      </c>
      <c r="AQ4" s="33" t="s">
        <v>298</v>
      </c>
      <c r="AR4" s="32" t="s">
        <v>299</v>
      </c>
      <c r="AS4" s="33" t="s">
        <v>298</v>
      </c>
      <c r="AT4" s="32" t="s">
        <v>299</v>
      </c>
      <c r="AU4" s="33" t="s">
        <v>298</v>
      </c>
      <c r="AV4" s="32" t="s">
        <v>299</v>
      </c>
      <c r="AW4" s="33" t="s">
        <v>298</v>
      </c>
      <c r="AX4" s="32" t="s">
        <v>299</v>
      </c>
      <c r="AY4" s="33" t="s">
        <v>298</v>
      </c>
      <c r="AZ4" s="32" t="s">
        <v>299</v>
      </c>
      <c r="BA4" s="33" t="s">
        <v>298</v>
      </c>
      <c r="BB4" s="32" t="s">
        <v>299</v>
      </c>
      <c r="BC4" s="33" t="s">
        <v>298</v>
      </c>
      <c r="BD4" s="32" t="s">
        <v>299</v>
      </c>
      <c r="BE4" s="33" t="s">
        <v>298</v>
      </c>
      <c r="BF4" s="32" t="s">
        <v>299</v>
      </c>
      <c r="BG4" s="33" t="s">
        <v>298</v>
      </c>
      <c r="BH4" s="32" t="s">
        <v>299</v>
      </c>
      <c r="BI4" s="33" t="s">
        <v>298</v>
      </c>
      <c r="BJ4" s="32" t="s">
        <v>299</v>
      </c>
      <c r="BK4" s="33" t="s">
        <v>298</v>
      </c>
      <c r="BL4" s="32" t="s">
        <v>299</v>
      </c>
      <c r="BM4" s="33" t="s">
        <v>298</v>
      </c>
    </row>
    <row r="5" spans="1:65" x14ac:dyDescent="0.25">
      <c r="A5" s="3" t="s">
        <v>214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45"/>
      <c r="BM5" s="45"/>
    </row>
    <row r="6" spans="1:65" x14ac:dyDescent="0.25">
      <c r="A6" s="2" t="s">
        <v>215</v>
      </c>
      <c r="B6" s="9"/>
      <c r="C6" s="9"/>
      <c r="D6" s="9"/>
      <c r="E6" s="9"/>
      <c r="F6" s="9"/>
      <c r="G6" s="9"/>
      <c r="H6" s="9">
        <v>3398</v>
      </c>
      <c r="I6" s="9">
        <v>14796</v>
      </c>
      <c r="J6" s="9"/>
      <c r="K6" s="9"/>
      <c r="L6" s="9">
        <v>3288</v>
      </c>
      <c r="M6" s="9">
        <v>5978</v>
      </c>
      <c r="N6" s="9">
        <v>3169</v>
      </c>
      <c r="O6" s="9">
        <v>621</v>
      </c>
      <c r="P6" s="9"/>
      <c r="Q6" s="9"/>
      <c r="R6" s="9">
        <v>30.22</v>
      </c>
      <c r="S6" s="9">
        <v>130.85</v>
      </c>
      <c r="T6" s="9">
        <v>3798.15</v>
      </c>
      <c r="U6" s="9">
        <v>3889.03</v>
      </c>
      <c r="V6" s="9">
        <v>1422</v>
      </c>
      <c r="W6" s="9">
        <v>3482</v>
      </c>
      <c r="X6" s="9">
        <v>12799</v>
      </c>
      <c r="Y6" s="9">
        <v>41543</v>
      </c>
      <c r="Z6" s="9">
        <v>4326</v>
      </c>
      <c r="AA6" s="9">
        <v>11018</v>
      </c>
      <c r="AB6" s="9">
        <v>179</v>
      </c>
      <c r="AC6" s="9">
        <v>587</v>
      </c>
      <c r="AD6" s="9">
        <v>327</v>
      </c>
      <c r="AE6" s="9">
        <v>1501</v>
      </c>
      <c r="AF6" s="9">
        <v>200</v>
      </c>
      <c r="AG6" s="9">
        <v>-2401</v>
      </c>
      <c r="AH6" s="9"/>
      <c r="AI6" s="9"/>
      <c r="AJ6" s="9">
        <v>5859.99</v>
      </c>
      <c r="AK6" s="9">
        <v>29485.02</v>
      </c>
      <c r="AL6" s="9">
        <v>553</v>
      </c>
      <c r="AM6" s="9">
        <v>1441</v>
      </c>
      <c r="AN6" s="9"/>
      <c r="AO6" s="9"/>
      <c r="AP6" s="9">
        <v>-183</v>
      </c>
      <c r="AQ6" s="9">
        <v>-412</v>
      </c>
      <c r="AR6" s="9">
        <v>6671</v>
      </c>
      <c r="AS6" s="9">
        <v>16048</v>
      </c>
      <c r="AT6" s="9">
        <v>209</v>
      </c>
      <c r="AU6" s="9">
        <v>4730</v>
      </c>
      <c r="AV6" s="9">
        <v>8265</v>
      </c>
      <c r="AW6" s="9">
        <v>25546</v>
      </c>
      <c r="AX6" s="9">
        <v>337</v>
      </c>
      <c r="AY6" s="9">
        <v>1197</v>
      </c>
      <c r="AZ6" s="9"/>
      <c r="BA6" s="9"/>
      <c r="BB6" s="9">
        <v>5014</v>
      </c>
      <c r="BC6" s="9">
        <v>17693</v>
      </c>
      <c r="BD6" s="9">
        <v>61751</v>
      </c>
      <c r="BE6" s="9">
        <v>117666</v>
      </c>
      <c r="BF6" s="9">
        <v>-1439</v>
      </c>
      <c r="BG6" s="9">
        <v>-29275</v>
      </c>
      <c r="BH6" s="9">
        <v>-26963</v>
      </c>
      <c r="BI6" s="9">
        <v>-15955</v>
      </c>
      <c r="BJ6" s="9">
        <v>1354</v>
      </c>
      <c r="BK6" s="9">
        <v>5133</v>
      </c>
      <c r="BL6" s="46">
        <f>B6+D6+F6+H6+J6+L6+N6+P6+R6+T6+V6+X6+Z6+AB6+AD6+AF6+AH6+AJ6+AL6+AN6+AP6+AR6+AT6+AV6+AX6+AZ6+BB6+BD6+BF6+BH6+BJ6</f>
        <v>94365.359999999986</v>
      </c>
      <c r="BM6" s="46">
        <f>C6+E6+G6+I6+K6+M6+O6+Q6+S6+U6+W6+Y6+AA6+AC6+AE6+AG6+AI6+AK6+AM6+AO6+AQ6+AS6+AU6+AW6+AY6+BA6+BC6+BE6+BG6+BI6+BK6</f>
        <v>254441.90000000002</v>
      </c>
    </row>
    <row r="7" spans="1:65" x14ac:dyDescent="0.25">
      <c r="A7" s="2" t="s">
        <v>216</v>
      </c>
      <c r="B7" s="9"/>
      <c r="C7" s="9"/>
      <c r="D7" s="9"/>
      <c r="E7" s="9"/>
      <c r="F7" s="9"/>
      <c r="G7" s="9"/>
      <c r="H7" s="9">
        <v>726</v>
      </c>
      <c r="I7" s="9">
        <v>-177</v>
      </c>
      <c r="J7" s="9"/>
      <c r="K7" s="9"/>
      <c r="L7" s="9">
        <v>72</v>
      </c>
      <c r="M7" s="9">
        <v>311</v>
      </c>
      <c r="N7" s="9">
        <v>-106</v>
      </c>
      <c r="O7" s="35">
        <v>-310</v>
      </c>
      <c r="P7" s="35"/>
      <c r="Q7" s="35"/>
      <c r="R7" s="35">
        <v>17.940000000000001</v>
      </c>
      <c r="S7" s="35">
        <v>9.82</v>
      </c>
      <c r="T7" s="35">
        <v>-300.49</v>
      </c>
      <c r="U7" s="35">
        <v>-2373.59</v>
      </c>
      <c r="V7" s="35">
        <v>-1716</v>
      </c>
      <c r="W7" s="35">
        <v>-7043</v>
      </c>
      <c r="X7" s="35">
        <v>-1180</v>
      </c>
      <c r="Y7" s="35">
        <v>-623</v>
      </c>
      <c r="Z7" s="35">
        <v>-368</v>
      </c>
      <c r="AA7" s="35">
        <v>-303</v>
      </c>
      <c r="AB7" s="35">
        <v>8</v>
      </c>
      <c r="AC7" s="35">
        <v>-235</v>
      </c>
      <c r="AD7" s="35">
        <v>24</v>
      </c>
      <c r="AE7" s="35">
        <v>-1031</v>
      </c>
      <c r="AF7" s="35">
        <v>-192</v>
      </c>
      <c r="AG7" s="9">
        <v>-607</v>
      </c>
      <c r="AH7" s="9"/>
      <c r="AI7" s="9"/>
      <c r="AJ7" s="9">
        <v>-534.9</v>
      </c>
      <c r="AK7" s="9">
        <v>5475.51</v>
      </c>
      <c r="AL7" s="9"/>
      <c r="AM7" s="9"/>
      <c r="AN7" s="9"/>
      <c r="AO7" s="9"/>
      <c r="AP7" s="9">
        <v>0</v>
      </c>
      <c r="AQ7" s="9">
        <v>1</v>
      </c>
      <c r="AR7" s="9">
        <v>349</v>
      </c>
      <c r="AS7" s="9">
        <v>-443</v>
      </c>
      <c r="AT7" s="9">
        <v>117</v>
      </c>
      <c r="AU7" s="9">
        <v>124</v>
      </c>
      <c r="AV7" s="9">
        <v>169</v>
      </c>
      <c r="AW7" s="9">
        <v>-3485</v>
      </c>
      <c r="AX7" s="9">
        <v>12</v>
      </c>
      <c r="AY7" s="9">
        <v>30</v>
      </c>
      <c r="AZ7" s="9"/>
      <c r="BA7" s="9"/>
      <c r="BB7" s="9">
        <v>-2878</v>
      </c>
      <c r="BC7" s="9">
        <v>-5210</v>
      </c>
      <c r="BD7" s="9">
        <v>6064</v>
      </c>
      <c r="BE7" s="9">
        <v>7581</v>
      </c>
      <c r="BF7" s="9">
        <v>810</v>
      </c>
      <c r="BG7" s="9">
        <v>-4886</v>
      </c>
      <c r="BH7" s="9">
        <v>-1736</v>
      </c>
      <c r="BI7" s="9">
        <v>-1906</v>
      </c>
      <c r="BJ7" s="9">
        <v>109</v>
      </c>
      <c r="BK7" s="9">
        <v>297</v>
      </c>
      <c r="BL7" s="46">
        <f t="shared" ref="BL7:BL8" si="0">B7+D7+F7+H7+J7+L7+N7+P7+R7+T7+V7+X7+Z7+AB7+AD7+AF7+AH7+AJ7+AL7+AN7+AP7+AR7+AT7+AV7+AX7+AZ7+BB7+BD7+BF7+BH7+BJ7</f>
        <v>-533.45000000000073</v>
      </c>
      <c r="BM7" s="46">
        <f t="shared" ref="BM7:BM8" si="1">C7+E7+G7+I7+K7+M7+O7+Q7+S7+U7+W7+Y7+AA7+AC7+AE7+AG7+AI7+AK7+AM7+AO7+AQ7+AS7+AU7+AW7+AY7+BA7+BC7+BE7+BG7+BI7+BK7</f>
        <v>-14803.26</v>
      </c>
    </row>
    <row r="8" spans="1:65" x14ac:dyDescent="0.25">
      <c r="A8" s="2" t="s">
        <v>217</v>
      </c>
      <c r="B8" s="9">
        <v>-12711</v>
      </c>
      <c r="C8" s="9">
        <v>-39996</v>
      </c>
      <c r="D8" s="9">
        <v>-8124</v>
      </c>
      <c r="E8" s="9">
        <v>-23568</v>
      </c>
      <c r="F8" s="9">
        <v>10877</v>
      </c>
      <c r="G8" s="9">
        <v>53479</v>
      </c>
      <c r="H8" s="9">
        <v>22105</v>
      </c>
      <c r="I8" s="9">
        <v>84949</v>
      </c>
      <c r="J8" s="9">
        <v>4720</v>
      </c>
      <c r="K8" s="9">
        <v>12444</v>
      </c>
      <c r="L8" s="9">
        <v>11359</v>
      </c>
      <c r="M8" s="9">
        <v>31961</v>
      </c>
      <c r="N8" s="9">
        <v>-2405</v>
      </c>
      <c r="O8" s="9">
        <v>-6012</v>
      </c>
      <c r="P8" s="9">
        <v>97560.66</v>
      </c>
      <c r="Q8" s="9">
        <v>189890.43</v>
      </c>
      <c r="R8" s="9">
        <v>-2926.63</v>
      </c>
      <c r="S8" s="9">
        <v>-10367.959999999999</v>
      </c>
      <c r="T8" s="9">
        <v>-1590.56</v>
      </c>
      <c r="U8" s="9">
        <v>6778.87</v>
      </c>
      <c r="V8" s="9">
        <v>11248</v>
      </c>
      <c r="W8" s="9">
        <v>46777</v>
      </c>
      <c r="X8" s="9">
        <v>16032</v>
      </c>
      <c r="Y8" s="9">
        <v>69430</v>
      </c>
      <c r="Z8" s="9">
        <v>-5506</v>
      </c>
      <c r="AA8" s="9">
        <v>-16953</v>
      </c>
      <c r="AB8" s="9">
        <v>-3386</v>
      </c>
      <c r="AC8" s="9">
        <v>-7945</v>
      </c>
      <c r="AD8" s="9">
        <v>-4618</v>
      </c>
      <c r="AE8" s="9">
        <v>-9931</v>
      </c>
      <c r="AF8" s="9">
        <v>596</v>
      </c>
      <c r="AG8" s="9">
        <v>-1901</v>
      </c>
      <c r="AH8" s="9">
        <v>-8622.67</v>
      </c>
      <c r="AI8" s="9">
        <v>-16989.849999999999</v>
      </c>
      <c r="AJ8" s="9">
        <v>-62786.53</v>
      </c>
      <c r="AK8" s="9">
        <v>-250133.39</v>
      </c>
      <c r="AL8" s="9">
        <v>46</v>
      </c>
      <c r="AM8" s="9">
        <v>-539</v>
      </c>
      <c r="AN8" s="9">
        <v>8665</v>
      </c>
      <c r="AO8" s="9">
        <v>20683</v>
      </c>
      <c r="AP8" s="9">
        <v>810</v>
      </c>
      <c r="AQ8" s="9">
        <v>-2563</v>
      </c>
      <c r="AR8" s="9">
        <v>13771</v>
      </c>
      <c r="AS8" s="9">
        <v>37425</v>
      </c>
      <c r="AT8" s="9">
        <v>-888</v>
      </c>
      <c r="AU8" s="9">
        <v>-3774</v>
      </c>
      <c r="AV8" s="9">
        <v>-9950</v>
      </c>
      <c r="AW8" s="9">
        <v>-19105</v>
      </c>
      <c r="AX8" s="9">
        <v>7644</v>
      </c>
      <c r="AY8" s="9">
        <v>23122</v>
      </c>
      <c r="AZ8" s="9">
        <v>24145</v>
      </c>
      <c r="BA8" s="9">
        <v>63038</v>
      </c>
      <c r="BB8" s="9">
        <v>6553</v>
      </c>
      <c r="BC8" s="9">
        <v>30122</v>
      </c>
      <c r="BD8" s="9">
        <v>10541</v>
      </c>
      <c r="BE8" s="9">
        <v>91346</v>
      </c>
      <c r="BF8" s="9">
        <v>-42764</v>
      </c>
      <c r="BG8" s="9">
        <v>-348889</v>
      </c>
      <c r="BH8" s="9">
        <v>-64456</v>
      </c>
      <c r="BI8" s="9">
        <v>-150985</v>
      </c>
      <c r="BJ8" s="9">
        <v>3693</v>
      </c>
      <c r="BK8" s="9">
        <v>8746</v>
      </c>
      <c r="BL8" s="46">
        <f t="shared" si="0"/>
        <v>19631.270000000004</v>
      </c>
      <c r="BM8" s="46">
        <f t="shared" si="1"/>
        <v>-139460.90000000002</v>
      </c>
    </row>
    <row r="9" spans="1:65" x14ac:dyDescent="0.25">
      <c r="A9" s="3" t="s">
        <v>218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46"/>
      <c r="BM9" s="46"/>
    </row>
    <row r="10" spans="1:65" x14ac:dyDescent="0.25">
      <c r="A10" s="2" t="s">
        <v>219</v>
      </c>
      <c r="B10" s="9">
        <v>1738</v>
      </c>
      <c r="C10" s="9">
        <v>4660</v>
      </c>
      <c r="D10" s="9">
        <v>1177</v>
      </c>
      <c r="E10" s="9">
        <v>2540</v>
      </c>
      <c r="F10" s="9">
        <v>6385</v>
      </c>
      <c r="G10" s="9">
        <v>15475</v>
      </c>
      <c r="H10" s="9">
        <v>13230</v>
      </c>
      <c r="I10" s="9">
        <v>34851</v>
      </c>
      <c r="J10" s="9">
        <v>2832</v>
      </c>
      <c r="K10" s="9">
        <v>7138</v>
      </c>
      <c r="L10" s="9">
        <v>2987</v>
      </c>
      <c r="M10" s="9">
        <v>7861</v>
      </c>
      <c r="N10" s="9">
        <v>2022</v>
      </c>
      <c r="O10" s="9">
        <v>6324</v>
      </c>
      <c r="P10" s="9">
        <v>12640.62</v>
      </c>
      <c r="Q10" s="9">
        <v>37818.080000000002</v>
      </c>
      <c r="R10" s="9">
        <v>354.95</v>
      </c>
      <c r="S10" s="9">
        <v>944.4</v>
      </c>
      <c r="T10" s="9">
        <v>2399.1</v>
      </c>
      <c r="U10" s="9">
        <v>6860.76</v>
      </c>
      <c r="V10" s="9">
        <v>7122</v>
      </c>
      <c r="W10" s="9">
        <v>20321</v>
      </c>
      <c r="X10" s="9">
        <v>13869</v>
      </c>
      <c r="Y10" s="9">
        <v>45144</v>
      </c>
      <c r="Z10" s="9">
        <v>6687</v>
      </c>
      <c r="AA10" s="9">
        <v>17837</v>
      </c>
      <c r="AB10" s="9">
        <v>662</v>
      </c>
      <c r="AC10" s="9">
        <v>1683</v>
      </c>
      <c r="AD10" s="9">
        <v>1462</v>
      </c>
      <c r="AE10" s="9">
        <v>4515</v>
      </c>
      <c r="AF10" s="9">
        <v>904</v>
      </c>
      <c r="AG10" s="9">
        <v>2896</v>
      </c>
      <c r="AH10" s="9">
        <v>657.32</v>
      </c>
      <c r="AI10" s="9">
        <v>1772.11</v>
      </c>
      <c r="AJ10" s="9">
        <v>4713.22</v>
      </c>
      <c r="AK10" s="9">
        <v>14656.65</v>
      </c>
      <c r="AL10" s="9">
        <v>203</v>
      </c>
      <c r="AM10" s="9">
        <v>786</v>
      </c>
      <c r="AN10" s="9">
        <v>1237</v>
      </c>
      <c r="AO10" s="9">
        <v>4103</v>
      </c>
      <c r="AP10" s="9">
        <v>446</v>
      </c>
      <c r="AQ10" s="9">
        <v>960</v>
      </c>
      <c r="AR10" s="9">
        <v>5677</v>
      </c>
      <c r="AS10" s="9">
        <v>14041</v>
      </c>
      <c r="AT10" s="9">
        <v>2395</v>
      </c>
      <c r="AU10" s="9">
        <v>7204</v>
      </c>
      <c r="AV10" s="9">
        <v>3117</v>
      </c>
      <c r="AW10" s="9">
        <v>9739</v>
      </c>
      <c r="AX10" s="9">
        <v>1748</v>
      </c>
      <c r="AY10" s="9">
        <v>5599</v>
      </c>
      <c r="AZ10" s="9">
        <v>8885</v>
      </c>
      <c r="BA10" s="9">
        <v>25204</v>
      </c>
      <c r="BB10" s="9">
        <v>6291</v>
      </c>
      <c r="BC10" s="9">
        <v>18266</v>
      </c>
      <c r="BD10" s="9">
        <v>28853</v>
      </c>
      <c r="BE10" s="9">
        <v>92768</v>
      </c>
      <c r="BF10" s="9">
        <v>-10648</v>
      </c>
      <c r="BG10" s="9">
        <v>-24009</v>
      </c>
      <c r="BH10" s="9">
        <v>-2659</v>
      </c>
      <c r="BI10" s="9">
        <v>6268</v>
      </c>
      <c r="BJ10" s="9">
        <v>1214</v>
      </c>
      <c r="BK10" s="9">
        <v>4134</v>
      </c>
      <c r="BL10" s="46">
        <f t="shared" ref="BL10:BL15" si="2">B10+D10+F10+H10+J10+L10+N10+P10+R10+T10+V10+X10+Z10+AB10+AD10+AF10+AH10+AJ10+AL10+AN10+AP10+AR10+AT10+AV10+AX10+AZ10+BB10+BD10+BF10+BH10+BJ10</f>
        <v>128601.21000000002</v>
      </c>
      <c r="BM10" s="46">
        <f t="shared" ref="BM10:BM15" si="3">C10+E10+G10+I10+K10+M10+O10+Q10+S10+U10+W10+Y10+AA10+AC10+AE10+AG10+AI10+AK10+AM10+AO10+AQ10+AS10+AU10+AW10+AY10+BA10+BC10+BE10+BG10+BI10+BK10</f>
        <v>398360</v>
      </c>
    </row>
    <row r="11" spans="1:65" x14ac:dyDescent="0.25">
      <c r="A11" s="2" t="s">
        <v>220</v>
      </c>
      <c r="B11" s="9">
        <v>55</v>
      </c>
      <c r="C11" s="9">
        <v>275</v>
      </c>
      <c r="D11" s="9">
        <v>197</v>
      </c>
      <c r="E11" s="9">
        <v>229</v>
      </c>
      <c r="F11" s="9">
        <v>229</v>
      </c>
      <c r="G11" s="9">
        <v>724</v>
      </c>
      <c r="H11" s="9">
        <v>838</v>
      </c>
      <c r="I11" s="9">
        <v>12659</v>
      </c>
      <c r="J11" s="9">
        <v>191</v>
      </c>
      <c r="K11" s="9">
        <v>545</v>
      </c>
      <c r="L11" s="9">
        <v>62</v>
      </c>
      <c r="M11" s="9">
        <v>236</v>
      </c>
      <c r="N11" s="9">
        <v>5</v>
      </c>
      <c r="O11" s="9">
        <v>605</v>
      </c>
      <c r="P11" s="9">
        <v>2020.29</v>
      </c>
      <c r="Q11" s="9">
        <v>3718.73</v>
      </c>
      <c r="R11" s="9">
        <v>139.62</v>
      </c>
      <c r="S11" s="9">
        <v>219.14</v>
      </c>
      <c r="T11" s="9">
        <v>96.05</v>
      </c>
      <c r="U11" s="9">
        <v>225.58</v>
      </c>
      <c r="V11" s="9">
        <v>482</v>
      </c>
      <c r="W11" s="9">
        <v>1916</v>
      </c>
      <c r="X11" s="9">
        <v>4680</v>
      </c>
      <c r="Y11" s="9">
        <v>10365</v>
      </c>
      <c r="Z11" s="9">
        <v>40</v>
      </c>
      <c r="AA11" s="9">
        <v>56</v>
      </c>
      <c r="AB11" s="9">
        <v>1</v>
      </c>
      <c r="AC11" s="9">
        <v>49</v>
      </c>
      <c r="AD11" s="9">
        <v>25</v>
      </c>
      <c r="AE11" s="9">
        <v>101</v>
      </c>
      <c r="AF11" s="9">
        <v>28</v>
      </c>
      <c r="AG11" s="9">
        <v>121</v>
      </c>
      <c r="AH11" s="9">
        <v>16.55</v>
      </c>
      <c r="AI11" s="9">
        <v>34.31</v>
      </c>
      <c r="AJ11" s="9">
        <v>2384.66</v>
      </c>
      <c r="AK11" s="9">
        <v>5856.01</v>
      </c>
      <c r="AL11" s="9">
        <v>-27</v>
      </c>
      <c r="AM11" s="9">
        <v>31</v>
      </c>
      <c r="AN11" s="9">
        <v>72</v>
      </c>
      <c r="AO11" s="9">
        <v>152</v>
      </c>
      <c r="AP11" s="9">
        <v>17</v>
      </c>
      <c r="AQ11" s="9">
        <v>26</v>
      </c>
      <c r="AR11" s="9">
        <v>619</v>
      </c>
      <c r="AS11" s="9">
        <v>1449</v>
      </c>
      <c r="AT11" s="9">
        <v>343</v>
      </c>
      <c r="AU11" s="9">
        <v>1612</v>
      </c>
      <c r="AV11" s="9">
        <v>1412</v>
      </c>
      <c r="AW11" s="9">
        <v>10467</v>
      </c>
      <c r="AX11" s="9">
        <v>1736</v>
      </c>
      <c r="AY11" s="9">
        <v>2324</v>
      </c>
      <c r="AZ11" s="9">
        <v>86</v>
      </c>
      <c r="BA11" s="9">
        <v>341</v>
      </c>
      <c r="BB11" s="9">
        <v>319</v>
      </c>
      <c r="BC11" s="9">
        <v>5719</v>
      </c>
      <c r="BD11" s="9">
        <v>46956</v>
      </c>
      <c r="BE11" s="9">
        <v>143924</v>
      </c>
      <c r="BF11" s="9">
        <v>-6350</v>
      </c>
      <c r="BG11" s="9">
        <v>-10062</v>
      </c>
      <c r="BH11" s="9">
        <v>-911</v>
      </c>
      <c r="BI11" s="9">
        <v>1138</v>
      </c>
      <c r="BJ11" s="9">
        <v>40</v>
      </c>
      <c r="BK11" s="9">
        <v>129</v>
      </c>
      <c r="BL11" s="46">
        <f t="shared" si="2"/>
        <v>55802.17</v>
      </c>
      <c r="BM11" s="46">
        <f t="shared" si="3"/>
        <v>195184.77000000002</v>
      </c>
    </row>
    <row r="12" spans="1:65" x14ac:dyDescent="0.25">
      <c r="A12" s="2" t="s">
        <v>221</v>
      </c>
      <c r="B12" s="9"/>
      <c r="C12" s="9">
        <v>-102</v>
      </c>
      <c r="D12" s="9"/>
      <c r="E12" s="9"/>
      <c r="F12" s="9">
        <v>-767</v>
      </c>
      <c r="G12" s="9">
        <v>-767</v>
      </c>
      <c r="H12" s="9">
        <v>-583</v>
      </c>
      <c r="I12" s="9">
        <v>-679</v>
      </c>
      <c r="J12" s="9">
        <v>-30</v>
      </c>
      <c r="K12" s="9">
        <v>-41</v>
      </c>
      <c r="L12" s="9"/>
      <c r="M12" s="9"/>
      <c r="N12" s="9">
        <v>4</v>
      </c>
      <c r="O12" s="9">
        <v>-9</v>
      </c>
      <c r="P12" s="9"/>
      <c r="Q12" s="9"/>
      <c r="R12" s="9">
        <v>-47.09</v>
      </c>
      <c r="S12" s="9">
        <v>-121.56</v>
      </c>
      <c r="T12" s="14">
        <v>-0.75</v>
      </c>
      <c r="U12" s="9">
        <v>-5.88</v>
      </c>
      <c r="V12" s="9">
        <v>-17</v>
      </c>
      <c r="W12" s="9">
        <v>-49</v>
      </c>
      <c r="X12" s="9">
        <v>-38</v>
      </c>
      <c r="Y12" s="9">
        <v>-253</v>
      </c>
      <c r="Z12" s="9"/>
      <c r="AA12" s="9"/>
      <c r="AB12" s="9">
        <v>-25</v>
      </c>
      <c r="AC12" s="9">
        <v>-46</v>
      </c>
      <c r="AD12" s="9"/>
      <c r="AE12" s="9"/>
      <c r="AF12" s="9">
        <v>-27</v>
      </c>
      <c r="AG12" s="9">
        <v>-70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>
        <v>-23</v>
      </c>
      <c r="AS12" s="9">
        <v>-105</v>
      </c>
      <c r="AT12" s="9">
        <v>-10</v>
      </c>
      <c r="AU12" s="9">
        <v>-212</v>
      </c>
      <c r="AV12" s="9">
        <v>-754</v>
      </c>
      <c r="AW12" s="9">
        <v>-3473</v>
      </c>
      <c r="AX12" s="9"/>
      <c r="AY12" s="9"/>
      <c r="AZ12" s="9"/>
      <c r="BA12" s="9"/>
      <c r="BB12" s="9">
        <v>-13</v>
      </c>
      <c r="BC12" s="9">
        <v>-637</v>
      </c>
      <c r="BD12" s="9">
        <v>0</v>
      </c>
      <c r="BE12" s="9">
        <v>0</v>
      </c>
      <c r="BF12" s="9"/>
      <c r="BG12" s="9"/>
      <c r="BH12" s="9"/>
      <c r="BI12" s="9"/>
      <c r="BJ12" s="9"/>
      <c r="BK12" s="9">
        <v>-6</v>
      </c>
      <c r="BL12" s="46">
        <f t="shared" si="2"/>
        <v>-2330.84</v>
      </c>
      <c r="BM12" s="46">
        <f t="shared" si="3"/>
        <v>-6576.4400000000005</v>
      </c>
    </row>
    <row r="13" spans="1:65" x14ac:dyDescent="0.25">
      <c r="A13" s="9" t="s">
        <v>222</v>
      </c>
      <c r="B13" s="9"/>
      <c r="C13" s="9"/>
      <c r="D13" s="9">
        <v>2</v>
      </c>
      <c r="E13" s="9">
        <v>-135</v>
      </c>
      <c r="F13" s="9">
        <v>229</v>
      </c>
      <c r="G13" s="9">
        <v>440</v>
      </c>
      <c r="H13" s="9">
        <v>-819</v>
      </c>
      <c r="I13" s="9">
        <v>-2812</v>
      </c>
      <c r="J13" s="9">
        <v>-107</v>
      </c>
      <c r="K13" s="9">
        <v>-289</v>
      </c>
      <c r="L13" s="9"/>
      <c r="M13" s="9"/>
      <c r="N13" s="9"/>
      <c r="O13" s="9"/>
      <c r="P13" s="9"/>
      <c r="Q13" s="9"/>
      <c r="R13" s="9">
        <v>1.78</v>
      </c>
      <c r="S13" s="9">
        <v>11.53</v>
      </c>
      <c r="T13" s="9">
        <v>-4.47</v>
      </c>
      <c r="U13" s="9">
        <v>-33.24</v>
      </c>
      <c r="V13" s="9">
        <v>-303</v>
      </c>
      <c r="W13" s="9">
        <v>-982</v>
      </c>
      <c r="X13" s="9">
        <v>168</v>
      </c>
      <c r="Y13" s="9">
        <v>226</v>
      </c>
      <c r="Z13" s="9">
        <v>584</v>
      </c>
      <c r="AA13" s="9">
        <v>1065</v>
      </c>
      <c r="AB13" s="9">
        <v>-81</v>
      </c>
      <c r="AC13" s="9">
        <v>-225</v>
      </c>
      <c r="AD13" s="9">
        <v>-88</v>
      </c>
      <c r="AE13" s="9">
        <v>-303</v>
      </c>
      <c r="AF13" s="9">
        <v>-29</v>
      </c>
      <c r="AG13" s="9">
        <v>-104</v>
      </c>
      <c r="AH13" s="9">
        <v>-38.549999999999997</v>
      </c>
      <c r="AI13" s="9">
        <v>-124.85</v>
      </c>
      <c r="AJ13" s="9"/>
      <c r="AK13" s="9"/>
      <c r="AL13" s="9"/>
      <c r="AM13" s="9"/>
      <c r="AN13" s="9">
        <v>-63</v>
      </c>
      <c r="AO13" s="9">
        <v>-37</v>
      </c>
      <c r="AP13" s="9">
        <v>-40</v>
      </c>
      <c r="AQ13" s="9">
        <v>-98</v>
      </c>
      <c r="AR13" s="9">
        <v>-319</v>
      </c>
      <c r="AS13" s="9">
        <v>-856</v>
      </c>
      <c r="AT13" s="9">
        <v>-164</v>
      </c>
      <c r="AU13" s="9">
        <v>-499</v>
      </c>
      <c r="AV13" s="9">
        <v>-87</v>
      </c>
      <c r="AW13" s="9">
        <v>-104</v>
      </c>
      <c r="AX13" s="9">
        <v>-51</v>
      </c>
      <c r="AY13" s="9">
        <v>-184</v>
      </c>
      <c r="AZ13" s="9"/>
      <c r="BA13" s="9"/>
      <c r="BB13" s="9">
        <v>-20</v>
      </c>
      <c r="BC13" s="9">
        <v>18</v>
      </c>
      <c r="BD13" s="9">
        <v>-1067</v>
      </c>
      <c r="BE13" s="9">
        <v>-2982</v>
      </c>
      <c r="BF13" s="9"/>
      <c r="BG13" s="9"/>
      <c r="BH13" s="9"/>
      <c r="BI13" s="9"/>
      <c r="BJ13" s="9">
        <v>-85</v>
      </c>
      <c r="BK13" s="9">
        <v>-335</v>
      </c>
      <c r="BL13" s="46">
        <f t="shared" si="2"/>
        <v>-2381.2399999999998</v>
      </c>
      <c r="BM13" s="46">
        <f t="shared" si="3"/>
        <v>-8342.56</v>
      </c>
    </row>
    <row r="14" spans="1:65" s="7" customFormat="1" x14ac:dyDescent="0.25">
      <c r="A14" s="3" t="s">
        <v>223</v>
      </c>
      <c r="B14" s="10">
        <f>B15-B13-B12-B11-B10-B8-B7-B6</f>
        <v>3</v>
      </c>
      <c r="C14" s="10">
        <f t="shared" ref="C14:BK14" si="4">C15-C13-C12-C11-C10-C8-C7-C6</f>
        <v>5</v>
      </c>
      <c r="D14" s="10">
        <f t="shared" si="4"/>
        <v>0</v>
      </c>
      <c r="E14" s="10">
        <f t="shared" si="4"/>
        <v>0</v>
      </c>
      <c r="F14" s="10">
        <f t="shared" si="4"/>
        <v>18</v>
      </c>
      <c r="G14" s="10">
        <f t="shared" si="4"/>
        <v>73</v>
      </c>
      <c r="H14" s="10">
        <f t="shared" si="4"/>
        <v>0</v>
      </c>
      <c r="I14" s="10">
        <f t="shared" si="4"/>
        <v>9</v>
      </c>
      <c r="J14" s="10">
        <f t="shared" si="4"/>
        <v>0</v>
      </c>
      <c r="K14" s="10">
        <f t="shared" si="4"/>
        <v>0</v>
      </c>
      <c r="L14" s="10">
        <f t="shared" si="4"/>
        <v>0</v>
      </c>
      <c r="M14" s="10">
        <f t="shared" si="4"/>
        <v>690</v>
      </c>
      <c r="N14" s="10">
        <f t="shared" si="4"/>
        <v>8</v>
      </c>
      <c r="O14" s="10">
        <f t="shared" si="4"/>
        <v>23</v>
      </c>
      <c r="P14" s="10">
        <f t="shared" si="4"/>
        <v>-98.399999999994179</v>
      </c>
      <c r="Q14" s="10">
        <f t="shared" si="4"/>
        <v>131</v>
      </c>
      <c r="R14" s="10">
        <f t="shared" si="4"/>
        <v>1.7300000000003273</v>
      </c>
      <c r="S14" s="10">
        <f t="shared" si="4"/>
        <v>3.3699999999990666</v>
      </c>
      <c r="T14" s="10">
        <f t="shared" si="4"/>
        <v>172.88999999999987</v>
      </c>
      <c r="U14" s="10">
        <f t="shared" si="4"/>
        <v>172.87999999999874</v>
      </c>
      <c r="V14" s="10">
        <f t="shared" si="4"/>
        <v>0</v>
      </c>
      <c r="W14" s="10">
        <f t="shared" si="4"/>
        <v>-1</v>
      </c>
      <c r="X14" s="10">
        <f t="shared" si="4"/>
        <v>2130</v>
      </c>
      <c r="Y14" s="10">
        <f t="shared" si="4"/>
        <v>2985</v>
      </c>
      <c r="Z14" s="10">
        <f t="shared" si="4"/>
        <v>33</v>
      </c>
      <c r="AA14" s="10">
        <f t="shared" si="4"/>
        <v>356</v>
      </c>
      <c r="AB14" s="10">
        <f t="shared" si="4"/>
        <v>10</v>
      </c>
      <c r="AC14" s="10">
        <f t="shared" si="4"/>
        <v>25</v>
      </c>
      <c r="AD14" s="10">
        <f t="shared" si="4"/>
        <v>0</v>
      </c>
      <c r="AE14" s="10">
        <f t="shared" si="4"/>
        <v>0</v>
      </c>
      <c r="AF14" s="10">
        <f t="shared" si="4"/>
        <v>1</v>
      </c>
      <c r="AG14" s="10">
        <f t="shared" si="4"/>
        <v>-1</v>
      </c>
      <c r="AH14" s="10">
        <f t="shared" si="4"/>
        <v>33.110000000000582</v>
      </c>
      <c r="AI14" s="10">
        <f t="shared" si="4"/>
        <v>33.110000000000582</v>
      </c>
      <c r="AJ14" s="10">
        <f t="shared" si="4"/>
        <v>-199.86000000000422</v>
      </c>
      <c r="AK14" s="10">
        <f t="shared" si="4"/>
        <v>675.30000000001382</v>
      </c>
      <c r="AL14" s="10">
        <f t="shared" si="4"/>
        <v>0</v>
      </c>
      <c r="AM14" s="10">
        <f t="shared" si="4"/>
        <v>0</v>
      </c>
      <c r="AN14" s="10">
        <f t="shared" si="4"/>
        <v>27</v>
      </c>
      <c r="AO14" s="10">
        <f t="shared" si="4"/>
        <v>57</v>
      </c>
      <c r="AP14" s="10">
        <f t="shared" si="4"/>
        <v>9</v>
      </c>
      <c r="AQ14" s="10">
        <f t="shared" si="4"/>
        <v>8</v>
      </c>
      <c r="AR14" s="10">
        <f t="shared" si="4"/>
        <v>1581</v>
      </c>
      <c r="AS14" s="10">
        <f t="shared" si="4"/>
        <v>2825</v>
      </c>
      <c r="AT14" s="10">
        <f t="shared" si="4"/>
        <v>1</v>
      </c>
      <c r="AU14" s="10">
        <f t="shared" si="4"/>
        <v>4</v>
      </c>
      <c r="AV14" s="10">
        <f t="shared" si="4"/>
        <v>3</v>
      </c>
      <c r="AW14" s="10">
        <f t="shared" si="4"/>
        <v>21</v>
      </c>
      <c r="AX14" s="10">
        <f t="shared" si="4"/>
        <v>0</v>
      </c>
      <c r="AY14" s="10">
        <f t="shared" si="4"/>
        <v>258</v>
      </c>
      <c r="AZ14" s="10">
        <f t="shared" si="4"/>
        <v>173</v>
      </c>
      <c r="BA14" s="10">
        <f t="shared" si="4"/>
        <v>438</v>
      </c>
      <c r="BB14" s="10">
        <f t="shared" si="4"/>
        <v>110</v>
      </c>
      <c r="BC14" s="10">
        <f t="shared" si="4"/>
        <v>205</v>
      </c>
      <c r="BD14" s="10">
        <f t="shared" si="4"/>
        <v>1786</v>
      </c>
      <c r="BE14" s="10">
        <f t="shared" si="4"/>
        <v>2603</v>
      </c>
      <c r="BF14" s="10">
        <f t="shared" si="4"/>
        <v>1847</v>
      </c>
      <c r="BG14" s="10">
        <f t="shared" si="4"/>
        <v>3906</v>
      </c>
      <c r="BH14" s="10">
        <f t="shared" si="4"/>
        <v>-828</v>
      </c>
      <c r="BI14" s="10">
        <f t="shared" si="4"/>
        <v>-1948</v>
      </c>
      <c r="BJ14" s="10">
        <f t="shared" si="4"/>
        <v>3</v>
      </c>
      <c r="BK14" s="10">
        <f t="shared" si="4"/>
        <v>10</v>
      </c>
      <c r="BL14" s="42">
        <f t="shared" si="2"/>
        <v>6824.470000000003</v>
      </c>
      <c r="BM14" s="42">
        <f t="shared" si="3"/>
        <v>13566.660000000013</v>
      </c>
    </row>
    <row r="15" spans="1:65" s="7" customFormat="1" x14ac:dyDescent="0.25">
      <c r="A15" s="3" t="s">
        <v>25</v>
      </c>
      <c r="B15" s="10">
        <v>-10915</v>
      </c>
      <c r="C15" s="10">
        <v>-35158</v>
      </c>
      <c r="D15" s="10">
        <v>-6748</v>
      </c>
      <c r="E15" s="10">
        <v>-20934</v>
      </c>
      <c r="F15" s="10">
        <v>16971</v>
      </c>
      <c r="G15" s="10">
        <v>69424</v>
      </c>
      <c r="H15" s="10">
        <v>38895</v>
      </c>
      <c r="I15" s="10">
        <v>143596</v>
      </c>
      <c r="J15" s="10">
        <v>7606</v>
      </c>
      <c r="K15" s="10">
        <v>19797</v>
      </c>
      <c r="L15" s="10">
        <v>17768</v>
      </c>
      <c r="M15" s="10">
        <v>47037</v>
      </c>
      <c r="N15" s="10">
        <v>2697</v>
      </c>
      <c r="O15" s="10">
        <v>1242</v>
      </c>
      <c r="P15" s="10">
        <v>112123.17</v>
      </c>
      <c r="Q15" s="10">
        <v>231558.24</v>
      </c>
      <c r="R15" s="10">
        <v>-2427.48</v>
      </c>
      <c r="S15" s="10">
        <v>-9170.41</v>
      </c>
      <c r="T15" s="10">
        <v>4569.92</v>
      </c>
      <c r="U15" s="10">
        <v>15514.41</v>
      </c>
      <c r="V15" s="10">
        <v>18238</v>
      </c>
      <c r="W15" s="10">
        <v>64421</v>
      </c>
      <c r="X15" s="10">
        <v>48460</v>
      </c>
      <c r="Y15" s="10">
        <v>168817</v>
      </c>
      <c r="Z15" s="10">
        <v>5796</v>
      </c>
      <c r="AA15" s="10">
        <v>13076</v>
      </c>
      <c r="AB15" s="10">
        <v>-2632</v>
      </c>
      <c r="AC15" s="10">
        <v>-6107</v>
      </c>
      <c r="AD15" s="10">
        <v>-2868</v>
      </c>
      <c r="AE15" s="10">
        <v>-5148</v>
      </c>
      <c r="AF15" s="10">
        <v>1481</v>
      </c>
      <c r="AG15" s="10">
        <v>-2067</v>
      </c>
      <c r="AH15" s="10">
        <v>-7954.24</v>
      </c>
      <c r="AI15" s="10">
        <v>-15275.17</v>
      </c>
      <c r="AJ15" s="10">
        <v>-50563.42</v>
      </c>
      <c r="AK15" s="10">
        <v>-193984.9</v>
      </c>
      <c r="AL15" s="10">
        <v>775</v>
      </c>
      <c r="AM15" s="10">
        <v>1719</v>
      </c>
      <c r="AN15" s="10">
        <v>9938</v>
      </c>
      <c r="AO15" s="10">
        <v>24958</v>
      </c>
      <c r="AP15" s="10">
        <v>1059</v>
      </c>
      <c r="AQ15" s="10">
        <v>-2078</v>
      </c>
      <c r="AR15" s="10">
        <v>28326</v>
      </c>
      <c r="AS15" s="10">
        <v>70384</v>
      </c>
      <c r="AT15" s="10">
        <v>2003</v>
      </c>
      <c r="AU15" s="10">
        <v>9189</v>
      </c>
      <c r="AV15" s="10">
        <v>2175</v>
      </c>
      <c r="AW15" s="10">
        <v>19606</v>
      </c>
      <c r="AX15" s="10">
        <v>11426</v>
      </c>
      <c r="AY15" s="10">
        <v>32346</v>
      </c>
      <c r="AZ15" s="10">
        <v>33289</v>
      </c>
      <c r="BA15" s="10">
        <v>89021</v>
      </c>
      <c r="BB15" s="10">
        <v>15376</v>
      </c>
      <c r="BC15" s="10">
        <v>66176</v>
      </c>
      <c r="BD15" s="10">
        <v>154884</v>
      </c>
      <c r="BE15" s="10">
        <v>452906</v>
      </c>
      <c r="BF15" s="10">
        <v>-58544</v>
      </c>
      <c r="BG15" s="10">
        <v>-413215</v>
      </c>
      <c r="BH15" s="10">
        <v>-97553</v>
      </c>
      <c r="BI15" s="10">
        <v>-163388</v>
      </c>
      <c r="BJ15" s="10">
        <v>6328</v>
      </c>
      <c r="BK15" s="10">
        <v>18108</v>
      </c>
      <c r="BL15" s="42">
        <f t="shared" si="2"/>
        <v>299978.95</v>
      </c>
      <c r="BM15" s="42">
        <f t="shared" si="3"/>
        <v>692370.16999999993</v>
      </c>
    </row>
    <row r="16" spans="1:65" x14ac:dyDescent="0.25">
      <c r="A16" s="3" t="s">
        <v>224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45"/>
      <c r="BM16" s="45"/>
    </row>
    <row r="17" spans="1:65" x14ac:dyDescent="0.25">
      <c r="A17" s="2" t="s">
        <v>225</v>
      </c>
      <c r="B17" s="9"/>
      <c r="C17" s="9"/>
      <c r="D17" s="9">
        <v>-300</v>
      </c>
      <c r="E17" s="9">
        <v>-150</v>
      </c>
      <c r="F17" s="9"/>
      <c r="G17" s="9"/>
      <c r="H17" s="9"/>
      <c r="I17" s="9">
        <v>1339</v>
      </c>
      <c r="J17" s="9"/>
      <c r="K17" s="9"/>
      <c r="L17" s="9">
        <v>-204</v>
      </c>
      <c r="M17" s="9">
        <v>-381</v>
      </c>
      <c r="N17" s="9"/>
      <c r="O17" s="9"/>
      <c r="P17" s="9"/>
      <c r="Q17" s="9"/>
      <c r="R17" s="9">
        <v>-75.98</v>
      </c>
      <c r="S17" s="9">
        <v>-75.98</v>
      </c>
      <c r="T17" s="9">
        <v>1.1599999999999999</v>
      </c>
      <c r="U17" s="9">
        <v>5.39</v>
      </c>
      <c r="V17" s="9"/>
      <c r="W17" s="9"/>
      <c r="X17" s="9">
        <v>22</v>
      </c>
      <c r="Y17" s="9">
        <v>8951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>
        <v>1.05</v>
      </c>
      <c r="AK17" s="9">
        <v>13.9</v>
      </c>
      <c r="AL17" s="9"/>
      <c r="AM17" s="9"/>
      <c r="AN17" s="9"/>
      <c r="AO17" s="9"/>
      <c r="AP17" s="9">
        <v>7</v>
      </c>
      <c r="AQ17" s="9">
        <v>18</v>
      </c>
      <c r="AR17" s="9"/>
      <c r="AS17" s="9">
        <v>850</v>
      </c>
      <c r="AT17" s="9"/>
      <c r="AU17" s="9"/>
      <c r="AV17" s="9"/>
      <c r="AW17" s="9">
        <v>-584</v>
      </c>
      <c r="AX17" s="9">
        <v>623</v>
      </c>
      <c r="AY17" s="9">
        <v>623</v>
      </c>
      <c r="AZ17" s="9"/>
      <c r="BA17" s="9"/>
      <c r="BB17" s="9"/>
      <c r="BC17" s="9"/>
      <c r="BD17" s="9">
        <v>-102</v>
      </c>
      <c r="BE17" s="9">
        <v>724</v>
      </c>
      <c r="BF17" s="9">
        <v>1</v>
      </c>
      <c r="BG17" s="9">
        <v>4</v>
      </c>
      <c r="BH17" s="9">
        <v>55</v>
      </c>
      <c r="BI17" s="9">
        <v>-24</v>
      </c>
      <c r="BJ17" s="9"/>
      <c r="BK17" s="9"/>
      <c r="BL17" s="46">
        <f t="shared" ref="BL17:BL24" si="5">B17+D17+F17+H17+J17+L17+N17+P17+R17+T17+V17+X17+Z17+AB17+AD17+AF17+AH17+AJ17+AL17+AN17+AP17+AR17+AT17+AV17+AX17+AZ17+BB17+BD17+BF17+BH17+BJ17</f>
        <v>28.229999999999905</v>
      </c>
      <c r="BM17" s="46">
        <f t="shared" ref="BM17:BM19" si="6">C17+E17+G17+I17+K17+M17+O17+Q17+S17+U17+W17+Y17+AA17+AC17+AE17+AG17+AI17+AK17+AM17+AO17+AQ17+AS17+AU17+AW17+AY17+BA17+BC17+BE17+BG17+BI17+BK17</f>
        <v>11313.31</v>
      </c>
    </row>
    <row r="18" spans="1:65" x14ac:dyDescent="0.25">
      <c r="A18" s="2" t="s">
        <v>226</v>
      </c>
      <c r="B18" s="9"/>
      <c r="C18" s="9"/>
      <c r="D18" s="9"/>
      <c r="E18" s="9"/>
      <c r="F18" s="9"/>
      <c r="G18" s="9"/>
      <c r="H18" s="9">
        <v>20</v>
      </c>
      <c r="I18" s="9">
        <v>211</v>
      </c>
      <c r="J18" s="9"/>
      <c r="K18" s="9"/>
      <c r="L18" s="9"/>
      <c r="M18" s="9"/>
      <c r="N18" s="9"/>
      <c r="O18" s="9"/>
      <c r="P18" s="14">
        <v>0.51</v>
      </c>
      <c r="Q18" s="14">
        <v>-0.04</v>
      </c>
      <c r="R18" s="9"/>
      <c r="S18" s="9"/>
      <c r="T18" s="9">
        <v>-8.74</v>
      </c>
      <c r="U18" s="9">
        <v>-7.19</v>
      </c>
      <c r="V18" s="9"/>
      <c r="W18" s="9"/>
      <c r="X18" s="9">
        <v>55</v>
      </c>
      <c r="Y18" s="9">
        <v>253</v>
      </c>
      <c r="Z18" s="9"/>
      <c r="AA18" s="9"/>
      <c r="AB18" s="9"/>
      <c r="AC18" s="9"/>
      <c r="AD18" s="9"/>
      <c r="AE18" s="9"/>
      <c r="AF18" s="9"/>
      <c r="AG18" s="9">
        <v>-2</v>
      </c>
      <c r="AH18" s="9">
        <v>-7.34</v>
      </c>
      <c r="AI18" s="9">
        <v>2.48</v>
      </c>
      <c r="AJ18" s="9">
        <v>9544.43</v>
      </c>
      <c r="AK18" s="9">
        <v>38243.379999999997</v>
      </c>
      <c r="AL18" s="9"/>
      <c r="AM18" s="9">
        <v>74</v>
      </c>
      <c r="AN18" s="9">
        <v>137</v>
      </c>
      <c r="AO18" s="9"/>
      <c r="AP18" s="9"/>
      <c r="AQ18" s="9"/>
      <c r="AR18" s="9">
        <v>-31</v>
      </c>
      <c r="AS18" s="9">
        <v>192</v>
      </c>
      <c r="AT18" s="9"/>
      <c r="AU18" s="9"/>
      <c r="AV18" s="9"/>
      <c r="AW18" s="9">
        <v>2363</v>
      </c>
      <c r="AX18" s="9"/>
      <c r="AY18" s="9"/>
      <c r="AZ18" s="9">
        <v>23</v>
      </c>
      <c r="BA18" s="9">
        <v>30</v>
      </c>
      <c r="BB18" s="9">
        <v>2</v>
      </c>
      <c r="BC18" s="9">
        <v>-18</v>
      </c>
      <c r="BD18" s="9">
        <v>53</v>
      </c>
      <c r="BE18" s="9">
        <v>47</v>
      </c>
      <c r="BF18" s="9">
        <v>10487</v>
      </c>
      <c r="BG18" s="9">
        <v>10487</v>
      </c>
      <c r="BH18" s="9">
        <v>27</v>
      </c>
      <c r="BI18" s="9">
        <v>9</v>
      </c>
      <c r="BJ18" s="9"/>
      <c r="BK18" s="9"/>
      <c r="BL18" s="46">
        <f t="shared" si="5"/>
        <v>20301.86</v>
      </c>
      <c r="BM18" s="46">
        <f t="shared" si="6"/>
        <v>51884.63</v>
      </c>
    </row>
    <row r="19" spans="1:65" x14ac:dyDescent="0.25">
      <c r="A19" s="2" t="s">
        <v>47</v>
      </c>
      <c r="B19" s="9"/>
      <c r="C19" s="9"/>
      <c r="D19" s="9"/>
      <c r="E19" s="9"/>
      <c r="F19" s="9">
        <v>1443</v>
      </c>
      <c r="G19" s="9">
        <v>1443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>
        <v>-333</v>
      </c>
      <c r="BG19" s="9">
        <v>-686</v>
      </c>
      <c r="BH19" s="9"/>
      <c r="BI19" s="9"/>
      <c r="BJ19" s="9"/>
      <c r="BK19" s="9"/>
      <c r="BL19" s="46">
        <f t="shared" si="5"/>
        <v>1110</v>
      </c>
      <c r="BM19" s="46">
        <f t="shared" si="6"/>
        <v>757</v>
      </c>
    </row>
    <row r="20" spans="1:65" s="7" customFormat="1" x14ac:dyDescent="0.25">
      <c r="A20" s="3" t="s">
        <v>227</v>
      </c>
      <c r="B20" s="10">
        <f>B21-B19-B18-B17</f>
        <v>3</v>
      </c>
      <c r="C20" s="10">
        <f t="shared" ref="C20:AE20" si="7">C21-C19-C18-C17</f>
        <v>16</v>
      </c>
      <c r="D20" s="10">
        <f t="shared" si="7"/>
        <v>210</v>
      </c>
      <c r="E20" s="10">
        <f t="shared" si="7"/>
        <v>801</v>
      </c>
      <c r="F20" s="10">
        <f t="shared" si="7"/>
        <v>132</v>
      </c>
      <c r="G20" s="10">
        <f t="shared" si="7"/>
        <v>622</v>
      </c>
      <c r="H20" s="10">
        <f t="shared" si="7"/>
        <v>1527</v>
      </c>
      <c r="I20" s="10">
        <f t="shared" si="7"/>
        <v>4650</v>
      </c>
      <c r="J20" s="10">
        <f t="shared" si="7"/>
        <v>170</v>
      </c>
      <c r="K20" s="10">
        <f t="shared" si="7"/>
        <v>347</v>
      </c>
      <c r="L20" s="10">
        <f t="shared" si="7"/>
        <v>12209</v>
      </c>
      <c r="M20" s="10">
        <f t="shared" si="7"/>
        <v>31822</v>
      </c>
      <c r="N20" s="10">
        <f t="shared" si="7"/>
        <v>61</v>
      </c>
      <c r="O20" s="10">
        <f t="shared" si="7"/>
        <v>240</v>
      </c>
      <c r="P20" s="10">
        <f t="shared" si="7"/>
        <v>-363.15999999999997</v>
      </c>
      <c r="Q20" s="10">
        <f t="shared" si="7"/>
        <v>319.06</v>
      </c>
      <c r="R20" s="10">
        <f t="shared" ref="R20:S20" si="8">R21-R19-R18-R17</f>
        <v>57.910000000000004</v>
      </c>
      <c r="S20" s="10">
        <f t="shared" si="8"/>
        <v>271.26</v>
      </c>
      <c r="T20" s="10">
        <f t="shared" si="7"/>
        <v>269.45</v>
      </c>
      <c r="U20" s="10">
        <f t="shared" si="7"/>
        <v>2809.61</v>
      </c>
      <c r="V20" s="10">
        <f t="shared" si="7"/>
        <v>1553</v>
      </c>
      <c r="W20" s="10">
        <f t="shared" si="7"/>
        <v>4900</v>
      </c>
      <c r="X20" s="10">
        <f t="shared" si="7"/>
        <v>1857</v>
      </c>
      <c r="Y20" s="10">
        <f t="shared" si="7"/>
        <v>5611</v>
      </c>
      <c r="Z20" s="10">
        <f t="shared" si="7"/>
        <v>127</v>
      </c>
      <c r="AA20" s="10">
        <f t="shared" si="7"/>
        <v>382</v>
      </c>
      <c r="AB20" s="10">
        <f t="shared" si="7"/>
        <v>82</v>
      </c>
      <c r="AC20" s="10">
        <f t="shared" si="7"/>
        <v>130</v>
      </c>
      <c r="AD20" s="10">
        <f t="shared" si="7"/>
        <v>206</v>
      </c>
      <c r="AE20" s="10">
        <f t="shared" si="7"/>
        <v>548</v>
      </c>
      <c r="AF20" s="10">
        <f t="shared" ref="AF20:BK20" si="9">AF21-AF19-AF18-AF17</f>
        <v>10160</v>
      </c>
      <c r="AG20" s="10">
        <f t="shared" si="9"/>
        <v>21782</v>
      </c>
      <c r="AH20" s="10">
        <f t="shared" si="9"/>
        <v>361.79999999999995</v>
      </c>
      <c r="AI20" s="10">
        <f t="shared" si="9"/>
        <v>1045.3899999999999</v>
      </c>
      <c r="AJ20" s="10">
        <f t="shared" si="9"/>
        <v>1927.3499999999997</v>
      </c>
      <c r="AK20" s="10">
        <f t="shared" si="9"/>
        <v>6640.0400000000027</v>
      </c>
      <c r="AL20" s="10">
        <f t="shared" si="9"/>
        <v>0</v>
      </c>
      <c r="AM20" s="10">
        <f t="shared" si="9"/>
        <v>-74</v>
      </c>
      <c r="AN20" s="10">
        <f t="shared" si="9"/>
        <v>13021</v>
      </c>
      <c r="AO20" s="10">
        <f t="shared" si="9"/>
        <v>27609</v>
      </c>
      <c r="AP20" s="10">
        <f t="shared" si="9"/>
        <v>3210</v>
      </c>
      <c r="AQ20" s="10">
        <f t="shared" si="9"/>
        <v>6508</v>
      </c>
      <c r="AR20" s="10">
        <f t="shared" si="9"/>
        <v>19699</v>
      </c>
      <c r="AS20" s="10">
        <f t="shared" si="9"/>
        <v>35906</v>
      </c>
      <c r="AT20" s="10">
        <f t="shared" si="9"/>
        <v>413</v>
      </c>
      <c r="AU20" s="10">
        <f t="shared" si="9"/>
        <v>1283</v>
      </c>
      <c r="AV20" s="10">
        <f t="shared" si="9"/>
        <v>343</v>
      </c>
      <c r="AW20" s="10">
        <f t="shared" si="9"/>
        <v>880</v>
      </c>
      <c r="AX20" s="10">
        <f t="shared" si="9"/>
        <v>468</v>
      </c>
      <c r="AY20" s="10">
        <f t="shared" si="9"/>
        <v>1418</v>
      </c>
      <c r="AZ20" s="10">
        <f t="shared" si="9"/>
        <v>5093</v>
      </c>
      <c r="BA20" s="10">
        <f t="shared" si="9"/>
        <v>19954</v>
      </c>
      <c r="BB20" s="10">
        <f t="shared" si="9"/>
        <v>1013</v>
      </c>
      <c r="BC20" s="10">
        <f t="shared" si="9"/>
        <v>2938</v>
      </c>
      <c r="BD20" s="10">
        <f t="shared" si="9"/>
        <v>63501</v>
      </c>
      <c r="BE20" s="10">
        <f t="shared" si="9"/>
        <v>343559</v>
      </c>
      <c r="BF20" s="10">
        <f t="shared" si="9"/>
        <v>2922</v>
      </c>
      <c r="BG20" s="10">
        <f t="shared" si="9"/>
        <v>7295</v>
      </c>
      <c r="BH20" s="10">
        <f t="shared" si="9"/>
        <v>1730</v>
      </c>
      <c r="BI20" s="10">
        <f t="shared" si="9"/>
        <v>5745</v>
      </c>
      <c r="BJ20" s="10">
        <f t="shared" si="9"/>
        <v>100</v>
      </c>
      <c r="BK20" s="10">
        <f t="shared" si="9"/>
        <v>300</v>
      </c>
      <c r="BL20" s="42">
        <f t="shared" si="5"/>
        <v>142063.35</v>
      </c>
      <c r="BM20" s="42">
        <f>C20+E20+G20+I20+K20+M20+O20+Q30+S20+U20+W20+Y20+AA20+AC20+AE20+AG20+AI20+AK20+AM20+AO20+AQ30+AS20+AU20+AW20+AY20+BA20+BC20+BE20+BG20+BI20+BK20</f>
        <v>529430.30000000005</v>
      </c>
    </row>
    <row r="21" spans="1:65" s="7" customFormat="1" x14ac:dyDescent="0.25">
      <c r="A21" s="3" t="s">
        <v>29</v>
      </c>
      <c r="B21" s="10">
        <v>3</v>
      </c>
      <c r="C21" s="10">
        <v>16</v>
      </c>
      <c r="D21" s="10">
        <v>-90</v>
      </c>
      <c r="E21" s="10">
        <v>651</v>
      </c>
      <c r="F21" s="10">
        <v>1575</v>
      </c>
      <c r="G21" s="10">
        <v>2065</v>
      </c>
      <c r="H21" s="10">
        <v>1547</v>
      </c>
      <c r="I21" s="10">
        <v>6200</v>
      </c>
      <c r="J21" s="10">
        <v>170</v>
      </c>
      <c r="K21" s="10">
        <v>347</v>
      </c>
      <c r="L21" s="10">
        <v>12005</v>
      </c>
      <c r="M21" s="10">
        <v>31441</v>
      </c>
      <c r="N21" s="10">
        <v>61</v>
      </c>
      <c r="O21" s="10">
        <v>240</v>
      </c>
      <c r="P21" s="10">
        <v>-362.65</v>
      </c>
      <c r="Q21" s="10">
        <v>319.02</v>
      </c>
      <c r="R21" s="10">
        <v>-18.07</v>
      </c>
      <c r="S21" s="10">
        <v>195.28</v>
      </c>
      <c r="T21" s="10">
        <v>261.87</v>
      </c>
      <c r="U21" s="10">
        <v>2807.81</v>
      </c>
      <c r="V21" s="10">
        <v>1553</v>
      </c>
      <c r="W21" s="10">
        <v>4900</v>
      </c>
      <c r="X21" s="10">
        <v>1934</v>
      </c>
      <c r="Y21" s="10">
        <v>14815</v>
      </c>
      <c r="Z21" s="10">
        <v>127</v>
      </c>
      <c r="AA21" s="10">
        <v>382</v>
      </c>
      <c r="AB21" s="10">
        <v>82</v>
      </c>
      <c r="AC21" s="10">
        <v>130</v>
      </c>
      <c r="AD21" s="10">
        <v>206</v>
      </c>
      <c r="AE21" s="10">
        <v>548</v>
      </c>
      <c r="AF21" s="10">
        <v>10160</v>
      </c>
      <c r="AG21" s="10">
        <v>21780</v>
      </c>
      <c r="AH21" s="10">
        <v>354.46</v>
      </c>
      <c r="AI21" s="10">
        <v>1047.8699999999999</v>
      </c>
      <c r="AJ21" s="10">
        <v>11472.83</v>
      </c>
      <c r="AK21" s="10">
        <v>44897.32</v>
      </c>
      <c r="AL21" s="10"/>
      <c r="AM21" s="10"/>
      <c r="AN21" s="10">
        <v>13158</v>
      </c>
      <c r="AO21" s="10">
        <v>27609</v>
      </c>
      <c r="AP21" s="10">
        <v>3217</v>
      </c>
      <c r="AQ21" s="10">
        <v>6526</v>
      </c>
      <c r="AR21" s="10">
        <v>19668</v>
      </c>
      <c r="AS21" s="10">
        <v>36948</v>
      </c>
      <c r="AT21" s="10">
        <v>413</v>
      </c>
      <c r="AU21" s="10">
        <v>1283</v>
      </c>
      <c r="AV21" s="10">
        <v>343</v>
      </c>
      <c r="AW21" s="10">
        <v>2659</v>
      </c>
      <c r="AX21" s="10">
        <v>1091</v>
      </c>
      <c r="AY21" s="10">
        <v>2041</v>
      </c>
      <c r="AZ21" s="10">
        <v>5116</v>
      </c>
      <c r="BA21" s="10">
        <v>19984</v>
      </c>
      <c r="BB21" s="10">
        <v>1015</v>
      </c>
      <c r="BC21" s="10">
        <v>2920</v>
      </c>
      <c r="BD21" s="10">
        <v>63452</v>
      </c>
      <c r="BE21" s="10">
        <v>344330</v>
      </c>
      <c r="BF21" s="10">
        <v>13077</v>
      </c>
      <c r="BG21" s="10">
        <v>17100</v>
      </c>
      <c r="BH21" s="10">
        <v>1812</v>
      </c>
      <c r="BI21" s="10">
        <v>5730</v>
      </c>
      <c r="BJ21" s="10">
        <v>100</v>
      </c>
      <c r="BK21" s="10">
        <v>300</v>
      </c>
      <c r="BL21" s="42">
        <f t="shared" si="5"/>
        <v>163503.44</v>
      </c>
      <c r="BM21" s="42">
        <f>C21+E21+G21+I21+K21+M21+O21+Q31+S21+U21+W21+Y21+AA21+AC21+AE21+AG21+AI21+AK21+AM21+AO21+AQ31+AS21+AU21+AW21+AY21+BA21+BC21+BE21+BG21+BI21+BK21</f>
        <v>593367.28</v>
      </c>
    </row>
    <row r="22" spans="1:65" s="7" customFormat="1" x14ac:dyDescent="0.25">
      <c r="A22" s="3" t="s">
        <v>228</v>
      </c>
      <c r="B22" s="10">
        <f>B15-B21</f>
        <v>-10918</v>
      </c>
      <c r="C22" s="10">
        <f t="shared" ref="C22:AF22" si="10">C15-C21</f>
        <v>-35174</v>
      </c>
      <c r="D22" s="10">
        <f t="shared" si="10"/>
        <v>-6658</v>
      </c>
      <c r="E22" s="10">
        <f t="shared" si="10"/>
        <v>-21585</v>
      </c>
      <c r="F22" s="10">
        <f t="shared" si="10"/>
        <v>15396</v>
      </c>
      <c r="G22" s="10">
        <f t="shared" si="10"/>
        <v>67359</v>
      </c>
      <c r="H22" s="10">
        <f t="shared" si="10"/>
        <v>37348</v>
      </c>
      <c r="I22" s="10">
        <f t="shared" si="10"/>
        <v>137396</v>
      </c>
      <c r="J22" s="10">
        <f t="shared" si="10"/>
        <v>7436</v>
      </c>
      <c r="K22" s="10">
        <f t="shared" si="10"/>
        <v>19450</v>
      </c>
      <c r="L22" s="10">
        <f t="shared" si="10"/>
        <v>5763</v>
      </c>
      <c r="M22" s="10">
        <f t="shared" si="10"/>
        <v>15596</v>
      </c>
      <c r="N22" s="10">
        <f t="shared" si="10"/>
        <v>2636</v>
      </c>
      <c r="O22" s="10">
        <f t="shared" si="10"/>
        <v>1002</v>
      </c>
      <c r="P22" s="10">
        <f t="shared" si="10"/>
        <v>112485.81999999999</v>
      </c>
      <c r="Q22" s="10">
        <f t="shared" si="10"/>
        <v>231239.22</v>
      </c>
      <c r="R22" s="10">
        <f t="shared" ref="R22:S22" si="11">R15-R21</f>
        <v>-2409.41</v>
      </c>
      <c r="S22" s="10">
        <f t="shared" si="11"/>
        <v>-9365.69</v>
      </c>
      <c r="T22" s="10">
        <f t="shared" si="10"/>
        <v>4308.05</v>
      </c>
      <c r="U22" s="10">
        <f t="shared" si="10"/>
        <v>12706.6</v>
      </c>
      <c r="V22" s="10">
        <f t="shared" si="10"/>
        <v>16685</v>
      </c>
      <c r="W22" s="10">
        <f t="shared" si="10"/>
        <v>59521</v>
      </c>
      <c r="X22" s="10">
        <f t="shared" si="10"/>
        <v>46526</v>
      </c>
      <c r="Y22" s="10">
        <f t="shared" si="10"/>
        <v>154002</v>
      </c>
      <c r="Z22" s="10">
        <f t="shared" si="10"/>
        <v>5669</v>
      </c>
      <c r="AA22" s="10">
        <f t="shared" si="10"/>
        <v>12694</v>
      </c>
      <c r="AB22" s="10">
        <f t="shared" si="10"/>
        <v>-2714</v>
      </c>
      <c r="AC22" s="10">
        <f t="shared" si="10"/>
        <v>-6237</v>
      </c>
      <c r="AD22" s="10">
        <f t="shared" si="10"/>
        <v>-3074</v>
      </c>
      <c r="AE22" s="10">
        <f t="shared" si="10"/>
        <v>-5696</v>
      </c>
      <c r="AF22" s="10">
        <f t="shared" si="10"/>
        <v>-8679</v>
      </c>
      <c r="AG22" s="10">
        <f t="shared" ref="AG22:BK22" si="12">AG15-AG21</f>
        <v>-23847</v>
      </c>
      <c r="AH22" s="10">
        <f t="shared" si="12"/>
        <v>-8308.6999999999989</v>
      </c>
      <c r="AI22" s="10">
        <f t="shared" si="12"/>
        <v>-16323.04</v>
      </c>
      <c r="AJ22" s="10">
        <f t="shared" si="12"/>
        <v>-62036.25</v>
      </c>
      <c r="AK22" s="10">
        <f t="shared" si="12"/>
        <v>-238882.22</v>
      </c>
      <c r="AL22" s="10">
        <f t="shared" si="12"/>
        <v>775</v>
      </c>
      <c r="AM22" s="10">
        <f t="shared" si="12"/>
        <v>1719</v>
      </c>
      <c r="AN22" s="10">
        <f t="shared" si="12"/>
        <v>-3220</v>
      </c>
      <c r="AO22" s="10">
        <f t="shared" si="12"/>
        <v>-2651</v>
      </c>
      <c r="AP22" s="10">
        <f t="shared" si="12"/>
        <v>-2158</v>
      </c>
      <c r="AQ22" s="10">
        <f t="shared" si="12"/>
        <v>-8604</v>
      </c>
      <c r="AR22" s="10">
        <f t="shared" si="12"/>
        <v>8658</v>
      </c>
      <c r="AS22" s="10">
        <f t="shared" si="12"/>
        <v>33436</v>
      </c>
      <c r="AT22" s="10">
        <f t="shared" si="12"/>
        <v>1590</v>
      </c>
      <c r="AU22" s="10">
        <f t="shared" si="12"/>
        <v>7906</v>
      </c>
      <c r="AV22" s="10">
        <f t="shared" si="12"/>
        <v>1832</v>
      </c>
      <c r="AW22" s="10">
        <f t="shared" si="12"/>
        <v>16947</v>
      </c>
      <c r="AX22" s="10">
        <f t="shared" si="12"/>
        <v>10335</v>
      </c>
      <c r="AY22" s="10">
        <f t="shared" si="12"/>
        <v>30305</v>
      </c>
      <c r="AZ22" s="10">
        <f t="shared" si="12"/>
        <v>28173</v>
      </c>
      <c r="BA22" s="10">
        <f t="shared" si="12"/>
        <v>69037</v>
      </c>
      <c r="BB22" s="10">
        <f t="shared" si="12"/>
        <v>14361</v>
      </c>
      <c r="BC22" s="10">
        <f t="shared" si="12"/>
        <v>63256</v>
      </c>
      <c r="BD22" s="10">
        <f t="shared" si="12"/>
        <v>91432</v>
      </c>
      <c r="BE22" s="10">
        <f t="shared" si="12"/>
        <v>108576</v>
      </c>
      <c r="BF22" s="10">
        <f t="shared" si="12"/>
        <v>-71621</v>
      </c>
      <c r="BG22" s="10">
        <f t="shared" si="12"/>
        <v>-430315</v>
      </c>
      <c r="BH22" s="10">
        <f t="shared" si="12"/>
        <v>-99365</v>
      </c>
      <c r="BI22" s="10">
        <f t="shared" si="12"/>
        <v>-169118</v>
      </c>
      <c r="BJ22" s="10">
        <f t="shared" si="12"/>
        <v>6228</v>
      </c>
      <c r="BK22" s="10">
        <f t="shared" si="12"/>
        <v>17808</v>
      </c>
      <c r="BL22" s="42">
        <f t="shared" si="5"/>
        <v>136475.51</v>
      </c>
      <c r="BM22" s="42">
        <f>C22+E22+G22+I22+K22+M22+O22+Q32+S22+U22+W22+Y22+AA22+AC22+AE22+AG22+AI22+AK22+AM22+AO22+AQ32+AS22+AU22+AW22+AY22+BA22+BC22+BE22+BG22+BI22+BK22</f>
        <v>-130477.34999999998</v>
      </c>
    </row>
    <row r="23" spans="1:65" x14ac:dyDescent="0.25">
      <c r="A23" s="2" t="s">
        <v>230</v>
      </c>
      <c r="B23" s="9"/>
      <c r="C23" s="9"/>
      <c r="D23" s="9"/>
      <c r="E23" s="9"/>
      <c r="F23" s="9">
        <v>2667</v>
      </c>
      <c r="G23" s="9">
        <v>15287</v>
      </c>
      <c r="H23" s="9">
        <v>9505</v>
      </c>
      <c r="I23" s="9">
        <v>34822</v>
      </c>
      <c r="J23" s="9">
        <f>3932-2180</f>
        <v>1752</v>
      </c>
      <c r="K23" s="9">
        <f>5160-366</f>
        <v>4794</v>
      </c>
      <c r="L23" s="9">
        <v>1431</v>
      </c>
      <c r="M23" s="9">
        <v>3964</v>
      </c>
      <c r="N23" s="9"/>
      <c r="O23" s="9"/>
      <c r="P23" s="9">
        <f>47.11+24084+2.15</f>
        <v>24133.260000000002</v>
      </c>
      <c r="Q23" s="9">
        <f>50100+3.01-76.13</f>
        <v>50026.880000000005</v>
      </c>
      <c r="R23" s="9"/>
      <c r="S23" s="9"/>
      <c r="T23" s="9">
        <f>1221.47-89.1</f>
        <v>1132.3700000000001</v>
      </c>
      <c r="U23" s="9">
        <f>3446.76-132.81</f>
        <v>3313.9500000000003</v>
      </c>
      <c r="V23" s="9">
        <f>4112-43</f>
        <v>4069</v>
      </c>
      <c r="W23" s="9">
        <f>14443+341</f>
        <v>14784</v>
      </c>
      <c r="X23" s="9">
        <f>12581-1308</f>
        <v>11273</v>
      </c>
      <c r="Y23" s="9">
        <f>41962-12848-4321</f>
        <v>24793</v>
      </c>
      <c r="Z23" s="9">
        <f>310+1087</f>
        <v>1397</v>
      </c>
      <c r="AA23" s="9">
        <f>3227-215</f>
        <v>3012</v>
      </c>
      <c r="AB23" s="9"/>
      <c r="AC23" s="9"/>
      <c r="AD23" s="9"/>
      <c r="AE23" s="9"/>
      <c r="AF23" s="9">
        <v>-3</v>
      </c>
      <c r="AG23" s="9">
        <v>-3</v>
      </c>
      <c r="AH23" s="9"/>
      <c r="AI23" s="9"/>
      <c r="AJ23" s="9">
        <v>-9.14</v>
      </c>
      <c r="AK23" s="9">
        <v>-9.14</v>
      </c>
      <c r="AL23" s="9"/>
      <c r="AM23" s="9"/>
      <c r="AN23" s="9"/>
      <c r="AO23" s="9"/>
      <c r="AP23" s="9">
        <v>-17</v>
      </c>
      <c r="AQ23" s="9">
        <v>-24</v>
      </c>
      <c r="AR23" s="9">
        <v>2463</v>
      </c>
      <c r="AS23" s="9">
        <f>6052+1906+4173</f>
        <v>12131</v>
      </c>
      <c r="AT23" s="9">
        <v>413</v>
      </c>
      <c r="AU23" s="9">
        <v>2005</v>
      </c>
      <c r="AV23" s="9">
        <v>511</v>
      </c>
      <c r="AW23" s="9">
        <f>4718-611-47</f>
        <v>4060</v>
      </c>
      <c r="AX23" s="9">
        <v>2611</v>
      </c>
      <c r="AY23" s="9">
        <v>7833</v>
      </c>
      <c r="AZ23" s="9">
        <v>7126</v>
      </c>
      <c r="BA23" s="9">
        <v>17355</v>
      </c>
      <c r="BB23" s="9">
        <f>409+3181</f>
        <v>3590</v>
      </c>
      <c r="BC23" s="9">
        <f>10362+5609</f>
        <v>15971</v>
      </c>
      <c r="BD23" s="9">
        <f>17426-845</f>
        <v>16581</v>
      </c>
      <c r="BE23" s="9">
        <f>21189-2657</f>
        <v>18532</v>
      </c>
      <c r="BF23" s="9">
        <v>164</v>
      </c>
      <c r="BG23" s="9">
        <v>164</v>
      </c>
      <c r="BH23" s="9"/>
      <c r="BI23" s="9"/>
      <c r="BJ23" s="9">
        <f>1754-305</f>
        <v>1449</v>
      </c>
      <c r="BK23" s="9">
        <v>4482</v>
      </c>
      <c r="BL23" s="46">
        <f t="shared" si="5"/>
        <v>92238.49</v>
      </c>
      <c r="BM23" s="46">
        <f>C23+E23+G23+I23+K23+M23+O23+Q33+S23+U23+W23+Y23+AA23+AC23+AE23+AG23+AI23+AK23+AM23+AO23+AQ33+AS23+AU23+AW23+AY23+BA23+BC23+BE23+BG23+BI23+BK23</f>
        <v>187290.81</v>
      </c>
    </row>
    <row r="24" spans="1:65" s="7" customFormat="1" x14ac:dyDescent="0.25">
      <c r="A24" s="3" t="s">
        <v>229</v>
      </c>
      <c r="B24" s="10">
        <f>B22-B23</f>
        <v>-10918</v>
      </c>
      <c r="C24" s="10">
        <f t="shared" ref="C24:AF24" si="13">C22-C23</f>
        <v>-35174</v>
      </c>
      <c r="D24" s="10">
        <f t="shared" si="13"/>
        <v>-6658</v>
      </c>
      <c r="E24" s="10">
        <f t="shared" si="13"/>
        <v>-21585</v>
      </c>
      <c r="F24" s="10">
        <f t="shared" si="13"/>
        <v>12729</v>
      </c>
      <c r="G24" s="10">
        <f t="shared" si="13"/>
        <v>52072</v>
      </c>
      <c r="H24" s="10">
        <f t="shared" si="13"/>
        <v>27843</v>
      </c>
      <c r="I24" s="10">
        <f t="shared" si="13"/>
        <v>102574</v>
      </c>
      <c r="J24" s="10">
        <f t="shared" si="13"/>
        <v>5684</v>
      </c>
      <c r="K24" s="10">
        <f t="shared" si="13"/>
        <v>14656</v>
      </c>
      <c r="L24" s="10">
        <f t="shared" si="13"/>
        <v>4332</v>
      </c>
      <c r="M24" s="10">
        <f t="shared" si="13"/>
        <v>11632</v>
      </c>
      <c r="N24" s="10">
        <f t="shared" si="13"/>
        <v>2636</v>
      </c>
      <c r="O24" s="10">
        <f t="shared" si="13"/>
        <v>1002</v>
      </c>
      <c r="P24" s="10">
        <f t="shared" si="13"/>
        <v>88352.56</v>
      </c>
      <c r="Q24" s="10">
        <f t="shared" si="13"/>
        <v>181212.34</v>
      </c>
      <c r="R24" s="10">
        <f t="shared" ref="R24:S24" si="14">R22-R23</f>
        <v>-2409.41</v>
      </c>
      <c r="S24" s="10">
        <f t="shared" si="14"/>
        <v>-9365.69</v>
      </c>
      <c r="T24" s="10">
        <f t="shared" si="13"/>
        <v>3175.6800000000003</v>
      </c>
      <c r="U24" s="10">
        <f t="shared" si="13"/>
        <v>9392.65</v>
      </c>
      <c r="V24" s="10">
        <f t="shared" si="13"/>
        <v>12616</v>
      </c>
      <c r="W24" s="10">
        <f t="shared" si="13"/>
        <v>44737</v>
      </c>
      <c r="X24" s="10">
        <f t="shared" si="13"/>
        <v>35253</v>
      </c>
      <c r="Y24" s="10">
        <f t="shared" si="13"/>
        <v>129209</v>
      </c>
      <c r="Z24" s="10">
        <f t="shared" si="13"/>
        <v>4272</v>
      </c>
      <c r="AA24" s="10">
        <f t="shared" si="13"/>
        <v>9682</v>
      </c>
      <c r="AB24" s="10">
        <f t="shared" si="13"/>
        <v>-2714</v>
      </c>
      <c r="AC24" s="10">
        <f t="shared" si="13"/>
        <v>-6237</v>
      </c>
      <c r="AD24" s="10">
        <f t="shared" si="13"/>
        <v>-3074</v>
      </c>
      <c r="AE24" s="10">
        <f t="shared" si="13"/>
        <v>-5696</v>
      </c>
      <c r="AF24" s="10">
        <f t="shared" si="13"/>
        <v>-8676</v>
      </c>
      <c r="AG24" s="10">
        <f t="shared" ref="AG24:BK24" si="15">AG22-AG23</f>
        <v>-23844</v>
      </c>
      <c r="AH24" s="10">
        <f t="shared" si="15"/>
        <v>-8308.6999999999989</v>
      </c>
      <c r="AI24" s="10">
        <f t="shared" si="15"/>
        <v>-16323.04</v>
      </c>
      <c r="AJ24" s="10">
        <f t="shared" si="15"/>
        <v>-62027.11</v>
      </c>
      <c r="AK24" s="10">
        <f t="shared" si="15"/>
        <v>-238873.08</v>
      </c>
      <c r="AL24" s="10">
        <f t="shared" si="15"/>
        <v>775</v>
      </c>
      <c r="AM24" s="10">
        <f t="shared" si="15"/>
        <v>1719</v>
      </c>
      <c r="AN24" s="10">
        <f t="shared" si="15"/>
        <v>-3220</v>
      </c>
      <c r="AO24" s="10">
        <f t="shared" si="15"/>
        <v>-2651</v>
      </c>
      <c r="AP24" s="10">
        <f t="shared" si="15"/>
        <v>-2141</v>
      </c>
      <c r="AQ24" s="10">
        <f t="shared" si="15"/>
        <v>-8580</v>
      </c>
      <c r="AR24" s="10">
        <f t="shared" si="15"/>
        <v>6195</v>
      </c>
      <c r="AS24" s="10">
        <f t="shared" si="15"/>
        <v>21305</v>
      </c>
      <c r="AT24" s="10">
        <f t="shared" si="15"/>
        <v>1177</v>
      </c>
      <c r="AU24" s="10">
        <f t="shared" si="15"/>
        <v>5901</v>
      </c>
      <c r="AV24" s="10">
        <f t="shared" si="15"/>
        <v>1321</v>
      </c>
      <c r="AW24" s="10">
        <f t="shared" si="15"/>
        <v>12887</v>
      </c>
      <c r="AX24" s="10">
        <f t="shared" si="15"/>
        <v>7724</v>
      </c>
      <c r="AY24" s="10">
        <f t="shared" si="15"/>
        <v>22472</v>
      </c>
      <c r="AZ24" s="10">
        <f t="shared" si="15"/>
        <v>21047</v>
      </c>
      <c r="BA24" s="10">
        <f t="shared" si="15"/>
        <v>51682</v>
      </c>
      <c r="BB24" s="10">
        <f t="shared" si="15"/>
        <v>10771</v>
      </c>
      <c r="BC24" s="10">
        <f t="shared" si="15"/>
        <v>47285</v>
      </c>
      <c r="BD24" s="10">
        <f t="shared" si="15"/>
        <v>74851</v>
      </c>
      <c r="BE24" s="10">
        <f t="shared" si="15"/>
        <v>90044</v>
      </c>
      <c r="BF24" s="10">
        <f t="shared" si="15"/>
        <v>-71785</v>
      </c>
      <c r="BG24" s="10">
        <f t="shared" si="15"/>
        <v>-430479</v>
      </c>
      <c r="BH24" s="10">
        <f t="shared" si="15"/>
        <v>-99365</v>
      </c>
      <c r="BI24" s="10">
        <f t="shared" si="15"/>
        <v>-169118</v>
      </c>
      <c r="BJ24" s="10">
        <f t="shared" si="15"/>
        <v>4779</v>
      </c>
      <c r="BK24" s="10">
        <f t="shared" si="15"/>
        <v>13326</v>
      </c>
      <c r="BL24" s="42">
        <f t="shared" si="5"/>
        <v>44237.01999999996</v>
      </c>
      <c r="BM24" s="42">
        <f>C24+E24+G24+I24+K24+M24+O24+Q34+S24+U24+W24+Y24+AA24+AC24+AE24+AG24+AI24+AK24+AM24+AO24+AQ34+AS24+AU24+AW24+AY24+BA24+BC24+BE24+BG24+BI24+BK24</f>
        <v>-317768.16000000003</v>
      </c>
    </row>
  </sheetData>
  <mergeCells count="32">
    <mergeCell ref="AN3:AO3"/>
    <mergeCell ref="AP3:AQ3"/>
    <mergeCell ref="AZ3:BA3"/>
    <mergeCell ref="BB3:BC3"/>
    <mergeCell ref="BL3:BM3"/>
    <mergeCell ref="BF3:BG3"/>
    <mergeCell ref="BH3:BI3"/>
    <mergeCell ref="BJ3:BK3"/>
    <mergeCell ref="BD3:BE3"/>
    <mergeCell ref="AT3:AU3"/>
    <mergeCell ref="AV3:AW3"/>
    <mergeCell ref="AX3:AY3"/>
    <mergeCell ref="AR3:AS3"/>
    <mergeCell ref="AD3:AE3"/>
    <mergeCell ref="AF3:AG3"/>
    <mergeCell ref="AH3:AI3"/>
    <mergeCell ref="AJ3:AK3"/>
    <mergeCell ref="AL3:AM3"/>
    <mergeCell ref="X3:Y3"/>
    <mergeCell ref="Z3:AA3"/>
    <mergeCell ref="AB3:AC3"/>
    <mergeCell ref="J3:K3"/>
    <mergeCell ref="L3:M3"/>
    <mergeCell ref="N3:O3"/>
    <mergeCell ref="P3:Q3"/>
    <mergeCell ref="T3:U3"/>
    <mergeCell ref="R3:S3"/>
    <mergeCell ref="B3:C3"/>
    <mergeCell ref="D3:E3"/>
    <mergeCell ref="F3:G3"/>
    <mergeCell ref="H3:I3"/>
    <mergeCell ref="V3:W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K1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5" style="6" customWidth="1"/>
    <col min="2" max="63" width="16" style="6" customWidth="1"/>
    <col min="64" max="16384" width="9.140625" style="6"/>
  </cols>
  <sheetData>
    <row r="1" spans="1:63" ht="18.75" x14ac:dyDescent="0.3">
      <c r="A1" s="8" t="s">
        <v>247</v>
      </c>
    </row>
    <row r="2" spans="1:63" x14ac:dyDescent="0.25">
      <c r="A2" s="5" t="s">
        <v>98</v>
      </c>
    </row>
    <row r="3" spans="1:63" x14ac:dyDescent="0.25">
      <c r="A3" s="150" t="s">
        <v>0</v>
      </c>
      <c r="B3" s="131" t="s">
        <v>1</v>
      </c>
      <c r="C3" s="131"/>
      <c r="D3" s="131" t="s">
        <v>232</v>
      </c>
      <c r="E3" s="131"/>
      <c r="F3" s="131" t="s">
        <v>2</v>
      </c>
      <c r="G3" s="131"/>
      <c r="H3" s="131" t="s">
        <v>3</v>
      </c>
      <c r="I3" s="131"/>
      <c r="J3" s="131" t="s">
        <v>241</v>
      </c>
      <c r="K3" s="131"/>
      <c r="L3" s="131" t="s">
        <v>233</v>
      </c>
      <c r="M3" s="131"/>
      <c r="N3" s="131" t="s">
        <v>244</v>
      </c>
      <c r="O3" s="131"/>
      <c r="P3" s="131" t="s">
        <v>5</v>
      </c>
      <c r="Q3" s="131"/>
      <c r="R3" s="131" t="s">
        <v>4</v>
      </c>
      <c r="S3" s="131"/>
      <c r="T3" s="131" t="s">
        <v>6</v>
      </c>
      <c r="U3" s="131"/>
      <c r="V3" s="131" t="s">
        <v>7</v>
      </c>
      <c r="W3" s="131"/>
      <c r="X3" s="131" t="s">
        <v>8</v>
      </c>
      <c r="Y3" s="131"/>
      <c r="Z3" s="131" t="s">
        <v>9</v>
      </c>
      <c r="AA3" s="131"/>
      <c r="AB3" s="131" t="s">
        <v>240</v>
      </c>
      <c r="AC3" s="131"/>
      <c r="AD3" s="131" t="s">
        <v>10</v>
      </c>
      <c r="AE3" s="131"/>
      <c r="AF3" s="131" t="s">
        <v>11</v>
      </c>
      <c r="AG3" s="131"/>
      <c r="AH3" s="131" t="s">
        <v>234</v>
      </c>
      <c r="AI3" s="131"/>
      <c r="AJ3" s="131" t="s">
        <v>12</v>
      </c>
      <c r="AK3" s="131"/>
      <c r="AL3" s="131" t="s">
        <v>235</v>
      </c>
      <c r="AM3" s="131"/>
      <c r="AN3" s="131" t="s">
        <v>293</v>
      </c>
      <c r="AO3" s="131"/>
      <c r="AP3" s="131" t="s">
        <v>236</v>
      </c>
      <c r="AQ3" s="131"/>
      <c r="AR3" s="131" t="s">
        <v>239</v>
      </c>
      <c r="AS3" s="131"/>
      <c r="AT3" s="131" t="s">
        <v>13</v>
      </c>
      <c r="AU3" s="131"/>
      <c r="AV3" s="131" t="s">
        <v>14</v>
      </c>
      <c r="AW3" s="131"/>
      <c r="AX3" s="131" t="s">
        <v>15</v>
      </c>
      <c r="AY3" s="131"/>
      <c r="AZ3" s="131" t="s">
        <v>16</v>
      </c>
      <c r="BA3" s="131"/>
      <c r="BB3" s="131" t="s">
        <v>17</v>
      </c>
      <c r="BC3" s="131"/>
      <c r="BD3" s="131" t="s">
        <v>237</v>
      </c>
      <c r="BE3" s="131"/>
      <c r="BF3" s="131" t="s">
        <v>238</v>
      </c>
      <c r="BG3" s="131"/>
      <c r="BH3" s="131" t="s">
        <v>18</v>
      </c>
      <c r="BI3" s="131"/>
      <c r="BJ3" s="131" t="s">
        <v>19</v>
      </c>
      <c r="BK3" s="131"/>
    </row>
    <row r="4" spans="1:63" ht="30" x14ac:dyDescent="0.25">
      <c r="A4" s="150"/>
      <c r="B4" s="99" t="s">
        <v>299</v>
      </c>
      <c r="C4" s="100" t="s">
        <v>298</v>
      </c>
      <c r="D4" s="99" t="s">
        <v>299</v>
      </c>
      <c r="E4" s="100" t="s">
        <v>298</v>
      </c>
      <c r="F4" s="99" t="s">
        <v>299</v>
      </c>
      <c r="G4" s="100" t="s">
        <v>298</v>
      </c>
      <c r="H4" s="99" t="s">
        <v>299</v>
      </c>
      <c r="I4" s="100" t="s">
        <v>298</v>
      </c>
      <c r="J4" s="99" t="s">
        <v>299</v>
      </c>
      <c r="K4" s="100" t="s">
        <v>298</v>
      </c>
      <c r="L4" s="99" t="s">
        <v>299</v>
      </c>
      <c r="M4" s="100" t="s">
        <v>298</v>
      </c>
      <c r="N4" s="99" t="s">
        <v>299</v>
      </c>
      <c r="O4" s="100" t="s">
        <v>298</v>
      </c>
      <c r="P4" s="99" t="s">
        <v>299</v>
      </c>
      <c r="Q4" s="100" t="s">
        <v>298</v>
      </c>
      <c r="R4" s="99" t="s">
        <v>299</v>
      </c>
      <c r="S4" s="100" t="s">
        <v>298</v>
      </c>
      <c r="T4" s="99" t="s">
        <v>299</v>
      </c>
      <c r="U4" s="100" t="s">
        <v>298</v>
      </c>
      <c r="V4" s="99" t="s">
        <v>299</v>
      </c>
      <c r="W4" s="100" t="s">
        <v>298</v>
      </c>
      <c r="X4" s="99" t="s">
        <v>299</v>
      </c>
      <c r="Y4" s="100" t="s">
        <v>298</v>
      </c>
      <c r="Z4" s="99" t="s">
        <v>299</v>
      </c>
      <c r="AA4" s="100" t="s">
        <v>298</v>
      </c>
      <c r="AB4" s="99" t="s">
        <v>299</v>
      </c>
      <c r="AC4" s="100" t="s">
        <v>298</v>
      </c>
      <c r="AD4" s="99" t="s">
        <v>299</v>
      </c>
      <c r="AE4" s="100" t="s">
        <v>298</v>
      </c>
      <c r="AF4" s="99" t="s">
        <v>299</v>
      </c>
      <c r="AG4" s="100" t="s">
        <v>298</v>
      </c>
      <c r="AH4" s="99" t="s">
        <v>299</v>
      </c>
      <c r="AI4" s="100" t="s">
        <v>298</v>
      </c>
      <c r="AJ4" s="99" t="s">
        <v>299</v>
      </c>
      <c r="AK4" s="100" t="s">
        <v>298</v>
      </c>
      <c r="AL4" s="99" t="s">
        <v>299</v>
      </c>
      <c r="AM4" s="100" t="s">
        <v>298</v>
      </c>
      <c r="AN4" s="99" t="s">
        <v>299</v>
      </c>
      <c r="AO4" s="100" t="s">
        <v>298</v>
      </c>
      <c r="AP4" s="99" t="s">
        <v>299</v>
      </c>
      <c r="AQ4" s="100" t="s">
        <v>298</v>
      </c>
      <c r="AR4" s="99" t="s">
        <v>299</v>
      </c>
      <c r="AS4" s="100" t="s">
        <v>298</v>
      </c>
      <c r="AT4" s="99" t="s">
        <v>299</v>
      </c>
      <c r="AU4" s="100" t="s">
        <v>298</v>
      </c>
      <c r="AV4" s="99" t="s">
        <v>299</v>
      </c>
      <c r="AW4" s="100" t="s">
        <v>298</v>
      </c>
      <c r="AX4" s="99" t="s">
        <v>299</v>
      </c>
      <c r="AY4" s="100" t="s">
        <v>298</v>
      </c>
      <c r="AZ4" s="99" t="s">
        <v>299</v>
      </c>
      <c r="BA4" s="100" t="s">
        <v>298</v>
      </c>
      <c r="BB4" s="99" t="s">
        <v>299</v>
      </c>
      <c r="BC4" s="100" t="s">
        <v>298</v>
      </c>
      <c r="BD4" s="99" t="s">
        <v>299</v>
      </c>
      <c r="BE4" s="100" t="s">
        <v>298</v>
      </c>
      <c r="BF4" s="99" t="s">
        <v>299</v>
      </c>
      <c r="BG4" s="100" t="s">
        <v>298</v>
      </c>
      <c r="BH4" s="99" t="s">
        <v>299</v>
      </c>
      <c r="BI4" s="100" t="s">
        <v>298</v>
      </c>
      <c r="BJ4" s="99" t="s">
        <v>299</v>
      </c>
      <c r="BK4" s="100" t="s">
        <v>298</v>
      </c>
    </row>
    <row r="5" spans="1:63" ht="30" customHeight="1" x14ac:dyDescent="0.25">
      <c r="A5" s="101" t="s">
        <v>310</v>
      </c>
      <c r="B5" s="74">
        <v>3394</v>
      </c>
      <c r="C5" s="74">
        <v>7739</v>
      </c>
      <c r="D5" s="74"/>
      <c r="E5" s="74"/>
      <c r="F5" s="74"/>
      <c r="G5" s="74"/>
      <c r="H5" s="74">
        <v>15088</v>
      </c>
      <c r="I5" s="74">
        <v>38708</v>
      </c>
      <c r="J5" s="74"/>
      <c r="K5" s="74"/>
      <c r="L5" s="74">
        <v>3552</v>
      </c>
      <c r="M5" s="74">
        <v>8258</v>
      </c>
      <c r="N5" s="74">
        <v>15681</v>
      </c>
      <c r="O5" s="74">
        <v>41461</v>
      </c>
      <c r="P5" s="74"/>
      <c r="Q5" s="74"/>
      <c r="R5" s="74">
        <v>1246.8699999999999</v>
      </c>
      <c r="S5" s="74"/>
      <c r="T5" s="74">
        <v>4791.59</v>
      </c>
      <c r="U5" s="74">
        <v>11966.02</v>
      </c>
      <c r="V5" s="74">
        <v>12040</v>
      </c>
      <c r="W5" s="74">
        <v>29911</v>
      </c>
      <c r="X5" s="74">
        <v>54160</v>
      </c>
      <c r="Y5" s="74">
        <v>110219</v>
      </c>
      <c r="Z5" s="74">
        <v>24665</v>
      </c>
      <c r="AA5" s="74">
        <v>56411</v>
      </c>
      <c r="AB5" s="74">
        <v>1023</v>
      </c>
      <c r="AC5" s="74">
        <v>2642</v>
      </c>
      <c r="AD5" s="74">
        <v>3318.68</v>
      </c>
      <c r="AE5" s="74">
        <v>7884.48</v>
      </c>
      <c r="AF5" s="74">
        <v>2357</v>
      </c>
      <c r="AG5" s="74">
        <v>5701</v>
      </c>
      <c r="AH5" s="74"/>
      <c r="AI5" s="74"/>
      <c r="AJ5" s="74">
        <v>23081.08</v>
      </c>
      <c r="AK5" s="74">
        <v>59740.17</v>
      </c>
      <c r="AL5" s="74">
        <v>218</v>
      </c>
      <c r="AM5" s="74">
        <v>886</v>
      </c>
      <c r="AN5" s="74"/>
      <c r="AO5" s="74"/>
      <c r="AP5" s="74">
        <v>58.15</v>
      </c>
      <c r="AQ5" s="74">
        <v>224.75</v>
      </c>
      <c r="AR5" s="74">
        <v>11469</v>
      </c>
      <c r="AS5" s="74">
        <v>23998</v>
      </c>
      <c r="AT5" s="74">
        <v>19681.962650000001</v>
      </c>
      <c r="AU5" s="74">
        <v>41449.662750000003</v>
      </c>
      <c r="AV5" s="74">
        <v>7655.27</v>
      </c>
      <c r="AW5" s="74">
        <v>20124.45</v>
      </c>
      <c r="AX5" s="74">
        <v>2600</v>
      </c>
      <c r="AY5" s="74">
        <v>9175</v>
      </c>
      <c r="AZ5" s="74"/>
      <c r="BA5" s="74"/>
      <c r="BB5" s="74">
        <v>10193</v>
      </c>
      <c r="BC5" s="74">
        <v>25311</v>
      </c>
      <c r="BD5" s="74">
        <v>24548</v>
      </c>
      <c r="BE5" s="74">
        <v>63900</v>
      </c>
      <c r="BF5" s="74">
        <v>8966</v>
      </c>
      <c r="BG5" s="74">
        <v>20686</v>
      </c>
      <c r="BH5" s="74">
        <v>25685.01</v>
      </c>
      <c r="BI5" s="74">
        <v>65583.740000000005</v>
      </c>
      <c r="BJ5" s="74">
        <v>1010.57</v>
      </c>
      <c r="BK5" s="74">
        <v>3563.6</v>
      </c>
    </row>
    <row r="6" spans="1:63" ht="30" customHeight="1" x14ac:dyDescent="0.25">
      <c r="A6" s="101" t="s">
        <v>311</v>
      </c>
      <c r="B6" s="74">
        <v>9373</v>
      </c>
      <c r="C6" s="74">
        <v>24856</v>
      </c>
      <c r="D6" s="74"/>
      <c r="E6" s="74"/>
      <c r="F6" s="74"/>
      <c r="G6" s="74"/>
      <c r="H6" s="74">
        <v>67021</v>
      </c>
      <c r="I6" s="74">
        <v>174068</v>
      </c>
      <c r="J6" s="74"/>
      <c r="K6" s="74"/>
      <c r="L6" s="74">
        <v>70915</v>
      </c>
      <c r="M6" s="74">
        <v>178475</v>
      </c>
      <c r="N6" s="74">
        <v>56964</v>
      </c>
      <c r="O6" s="74">
        <v>144190</v>
      </c>
      <c r="P6" s="74"/>
      <c r="Q6" s="74"/>
      <c r="R6" s="74">
        <v>2016.92</v>
      </c>
      <c r="S6" s="74"/>
      <c r="T6" s="74">
        <v>17069.169999999998</v>
      </c>
      <c r="U6" s="74">
        <v>47172.19</v>
      </c>
      <c r="V6" s="74">
        <v>68777</v>
      </c>
      <c r="W6" s="74">
        <v>163893</v>
      </c>
      <c r="X6" s="74">
        <v>90880</v>
      </c>
      <c r="Y6" s="74">
        <v>228767</v>
      </c>
      <c r="Z6" s="74">
        <v>42237</v>
      </c>
      <c r="AA6" s="74">
        <v>99203</v>
      </c>
      <c r="AB6" s="74">
        <v>5511</v>
      </c>
      <c r="AC6" s="74">
        <v>15174</v>
      </c>
      <c r="AD6" s="74">
        <v>18363.009999999998</v>
      </c>
      <c r="AE6" s="74">
        <v>40665.03</v>
      </c>
      <c r="AF6" s="74">
        <v>35366</v>
      </c>
      <c r="AG6" s="74">
        <v>88039</v>
      </c>
      <c r="AH6" s="74"/>
      <c r="AI6" s="74"/>
      <c r="AJ6" s="74">
        <v>69991.94</v>
      </c>
      <c r="AK6" s="74">
        <v>177223.96</v>
      </c>
      <c r="AL6" s="74">
        <v>504</v>
      </c>
      <c r="AM6" s="74">
        <v>1390</v>
      </c>
      <c r="AN6" s="74"/>
      <c r="AO6" s="74"/>
      <c r="AP6" s="74">
        <v>1979.21</v>
      </c>
      <c r="AQ6" s="74">
        <v>7016.86</v>
      </c>
      <c r="AR6" s="74">
        <v>66537</v>
      </c>
      <c r="AS6" s="74">
        <v>144255</v>
      </c>
      <c r="AT6" s="74">
        <v>22906.328669999999</v>
      </c>
      <c r="AU6" s="74">
        <v>60167.63394</v>
      </c>
      <c r="AV6" s="74">
        <v>29851.73</v>
      </c>
      <c r="AW6" s="74">
        <v>79003.16</v>
      </c>
      <c r="AX6" s="74">
        <v>40881</v>
      </c>
      <c r="AY6" s="74">
        <v>107883</v>
      </c>
      <c r="AZ6" s="74"/>
      <c r="BA6" s="74"/>
      <c r="BB6" s="74">
        <v>90525</v>
      </c>
      <c r="BC6" s="74">
        <v>222822</v>
      </c>
      <c r="BD6" s="74">
        <v>131594</v>
      </c>
      <c r="BE6" s="74">
        <v>346987</v>
      </c>
      <c r="BF6" s="74">
        <v>64914</v>
      </c>
      <c r="BG6" s="74">
        <v>165593</v>
      </c>
      <c r="BH6" s="74">
        <v>92045.96</v>
      </c>
      <c r="BI6" s="74">
        <v>237088.64000000001</v>
      </c>
      <c r="BJ6" s="74">
        <v>19913.28</v>
      </c>
      <c r="BK6" s="74">
        <v>63617.09</v>
      </c>
    </row>
    <row r="7" spans="1:63" s="7" customFormat="1" ht="30" x14ac:dyDescent="0.25">
      <c r="A7" s="105" t="s">
        <v>312</v>
      </c>
      <c r="B7" s="76">
        <f t="shared" ref="B7:AG7" si="0">B5+B6</f>
        <v>12767</v>
      </c>
      <c r="C7" s="76">
        <f t="shared" si="0"/>
        <v>32595</v>
      </c>
      <c r="D7" s="76">
        <f t="shared" si="0"/>
        <v>0</v>
      </c>
      <c r="E7" s="76">
        <f t="shared" si="0"/>
        <v>0</v>
      </c>
      <c r="F7" s="76">
        <f t="shared" si="0"/>
        <v>0</v>
      </c>
      <c r="G7" s="76">
        <f t="shared" si="0"/>
        <v>0</v>
      </c>
      <c r="H7" s="76">
        <f t="shared" si="0"/>
        <v>82109</v>
      </c>
      <c r="I7" s="76">
        <f t="shared" si="0"/>
        <v>212776</v>
      </c>
      <c r="J7" s="76">
        <f t="shared" si="0"/>
        <v>0</v>
      </c>
      <c r="K7" s="76">
        <f t="shared" si="0"/>
        <v>0</v>
      </c>
      <c r="L7" s="76">
        <f t="shared" si="0"/>
        <v>74467</v>
      </c>
      <c r="M7" s="76">
        <f t="shared" si="0"/>
        <v>186733</v>
      </c>
      <c r="N7" s="76">
        <f t="shared" si="0"/>
        <v>72645</v>
      </c>
      <c r="O7" s="76">
        <f t="shared" si="0"/>
        <v>185651</v>
      </c>
      <c r="P7" s="76">
        <f t="shared" si="0"/>
        <v>0</v>
      </c>
      <c r="Q7" s="76">
        <f t="shared" si="0"/>
        <v>0</v>
      </c>
      <c r="R7" s="76">
        <f t="shared" si="0"/>
        <v>3263.79</v>
      </c>
      <c r="S7" s="76">
        <f t="shared" si="0"/>
        <v>0</v>
      </c>
      <c r="T7" s="76">
        <f t="shared" si="0"/>
        <v>21860.76</v>
      </c>
      <c r="U7" s="76">
        <f t="shared" si="0"/>
        <v>59138.210000000006</v>
      </c>
      <c r="V7" s="76">
        <f t="shared" si="0"/>
        <v>80817</v>
      </c>
      <c r="W7" s="76">
        <f t="shared" si="0"/>
        <v>193804</v>
      </c>
      <c r="X7" s="76">
        <f t="shared" si="0"/>
        <v>145040</v>
      </c>
      <c r="Y7" s="76">
        <f t="shared" si="0"/>
        <v>338986</v>
      </c>
      <c r="Z7" s="76">
        <f t="shared" si="0"/>
        <v>66902</v>
      </c>
      <c r="AA7" s="76">
        <f t="shared" si="0"/>
        <v>155614</v>
      </c>
      <c r="AB7" s="76">
        <f t="shared" si="0"/>
        <v>6534</v>
      </c>
      <c r="AC7" s="76">
        <f t="shared" si="0"/>
        <v>17816</v>
      </c>
      <c r="AD7" s="76">
        <f t="shared" si="0"/>
        <v>21681.69</v>
      </c>
      <c r="AE7" s="76">
        <f t="shared" si="0"/>
        <v>48549.509999999995</v>
      </c>
      <c r="AF7" s="76">
        <f t="shared" si="0"/>
        <v>37723</v>
      </c>
      <c r="AG7" s="76">
        <f t="shared" si="0"/>
        <v>93740</v>
      </c>
      <c r="AH7" s="76">
        <f t="shared" ref="AH7:BK7" si="1">AH5+AH6</f>
        <v>0</v>
      </c>
      <c r="AI7" s="76">
        <f t="shared" si="1"/>
        <v>0</v>
      </c>
      <c r="AJ7" s="76">
        <f t="shared" si="1"/>
        <v>93073.02</v>
      </c>
      <c r="AK7" s="76">
        <f t="shared" si="1"/>
        <v>236964.13</v>
      </c>
      <c r="AL7" s="76">
        <f t="shared" si="1"/>
        <v>722</v>
      </c>
      <c r="AM7" s="76">
        <f t="shared" si="1"/>
        <v>2276</v>
      </c>
      <c r="AN7" s="76"/>
      <c r="AO7" s="76"/>
      <c r="AP7" s="76">
        <f t="shared" si="1"/>
        <v>2037.3600000000001</v>
      </c>
      <c r="AQ7" s="76">
        <f t="shared" si="1"/>
        <v>7241.61</v>
      </c>
      <c r="AR7" s="76">
        <f t="shared" si="1"/>
        <v>78006</v>
      </c>
      <c r="AS7" s="76">
        <f t="shared" si="1"/>
        <v>168253</v>
      </c>
      <c r="AT7" s="76">
        <f t="shared" si="1"/>
        <v>42588.291320000004</v>
      </c>
      <c r="AU7" s="76">
        <f t="shared" si="1"/>
        <v>101617.29669</v>
      </c>
      <c r="AV7" s="76">
        <f t="shared" si="1"/>
        <v>37507</v>
      </c>
      <c r="AW7" s="76">
        <f t="shared" si="1"/>
        <v>99127.61</v>
      </c>
      <c r="AX7" s="76">
        <f t="shared" si="1"/>
        <v>43481</v>
      </c>
      <c r="AY7" s="76">
        <f t="shared" si="1"/>
        <v>117058</v>
      </c>
      <c r="AZ7" s="76">
        <f t="shared" si="1"/>
        <v>0</v>
      </c>
      <c r="BA7" s="76">
        <f t="shared" si="1"/>
        <v>0</v>
      </c>
      <c r="BB7" s="76">
        <f t="shared" si="1"/>
        <v>100718</v>
      </c>
      <c r="BC7" s="76">
        <f t="shared" si="1"/>
        <v>248133</v>
      </c>
      <c r="BD7" s="76">
        <f t="shared" si="1"/>
        <v>156142</v>
      </c>
      <c r="BE7" s="76">
        <f t="shared" si="1"/>
        <v>410887</v>
      </c>
      <c r="BF7" s="76">
        <f t="shared" si="1"/>
        <v>73880</v>
      </c>
      <c r="BG7" s="76">
        <f t="shared" si="1"/>
        <v>186279</v>
      </c>
      <c r="BH7" s="76">
        <f t="shared" si="1"/>
        <v>117730.97</v>
      </c>
      <c r="BI7" s="76">
        <f t="shared" si="1"/>
        <v>302672.38</v>
      </c>
      <c r="BJ7" s="76">
        <f t="shared" si="1"/>
        <v>20923.849999999999</v>
      </c>
      <c r="BK7" s="76">
        <f t="shared" si="1"/>
        <v>67180.69</v>
      </c>
    </row>
    <row r="8" spans="1:63" s="7" customFormat="1" x14ac:dyDescent="0.25">
      <c r="A8" s="76" t="s">
        <v>248</v>
      </c>
      <c r="B8" s="76">
        <v>6548</v>
      </c>
      <c r="C8" s="76">
        <v>15532</v>
      </c>
      <c r="D8" s="76"/>
      <c r="E8" s="76"/>
      <c r="F8" s="76"/>
      <c r="G8" s="76"/>
      <c r="H8" s="76">
        <v>65821</v>
      </c>
      <c r="I8" s="76">
        <v>166918</v>
      </c>
      <c r="J8" s="76"/>
      <c r="K8" s="76"/>
      <c r="L8" s="76">
        <v>45778</v>
      </c>
      <c r="M8" s="76">
        <v>117291</v>
      </c>
      <c r="N8" s="76">
        <v>38870</v>
      </c>
      <c r="O8" s="76">
        <v>93978</v>
      </c>
      <c r="P8" s="76"/>
      <c r="Q8" s="76"/>
      <c r="R8" s="76">
        <v>4730.16</v>
      </c>
      <c r="S8" s="76"/>
      <c r="T8" s="76">
        <v>17001.009999999998</v>
      </c>
      <c r="U8" s="76">
        <v>52520.39</v>
      </c>
      <c r="V8" s="76">
        <v>66256</v>
      </c>
      <c r="W8" s="76">
        <v>157535</v>
      </c>
      <c r="X8" s="76">
        <v>124053</v>
      </c>
      <c r="Y8" s="76">
        <v>301033</v>
      </c>
      <c r="Z8" s="76">
        <v>56576</v>
      </c>
      <c r="AA8" s="76">
        <v>136381</v>
      </c>
      <c r="AB8" s="76">
        <v>6747</v>
      </c>
      <c r="AC8" s="76">
        <v>18559</v>
      </c>
      <c r="AD8" s="76">
        <v>20528.12</v>
      </c>
      <c r="AE8" s="76">
        <v>51366.38</v>
      </c>
      <c r="AF8" s="76">
        <v>17692</v>
      </c>
      <c r="AG8" s="76">
        <v>47450</v>
      </c>
      <c r="AH8" s="76"/>
      <c r="AI8" s="76"/>
      <c r="AJ8" s="76">
        <v>49948.17</v>
      </c>
      <c r="AK8" s="76">
        <v>118654.11</v>
      </c>
      <c r="AL8" s="76">
        <v>59</v>
      </c>
      <c r="AM8" s="76">
        <v>242</v>
      </c>
      <c r="AN8" s="76"/>
      <c r="AO8" s="76"/>
      <c r="AP8" s="76">
        <v>4297.6499999999996</v>
      </c>
      <c r="AQ8" s="76">
        <v>18243.39</v>
      </c>
      <c r="AR8" s="76">
        <v>47281</v>
      </c>
      <c r="AS8" s="76">
        <v>120572</v>
      </c>
      <c r="AT8" s="76">
        <v>30931.448329999999</v>
      </c>
      <c r="AU8" s="76">
        <v>76138.388089999993</v>
      </c>
      <c r="AV8" s="76">
        <v>23417.919999999998</v>
      </c>
      <c r="AW8" s="76">
        <v>75240.2</v>
      </c>
      <c r="AX8" s="76">
        <v>11485</v>
      </c>
      <c r="AY8" s="76">
        <v>29942</v>
      </c>
      <c r="AZ8" s="76"/>
      <c r="BA8" s="76"/>
      <c r="BB8" s="76">
        <v>77732</v>
      </c>
      <c r="BC8" s="76">
        <v>200051</v>
      </c>
      <c r="BD8" s="76">
        <v>89883</v>
      </c>
      <c r="BE8" s="76">
        <v>222733</v>
      </c>
      <c r="BF8" s="76">
        <v>27947</v>
      </c>
      <c r="BG8" s="76">
        <v>67638</v>
      </c>
      <c r="BH8" s="76">
        <v>47603.37</v>
      </c>
      <c r="BI8" s="76">
        <v>116731.82</v>
      </c>
      <c r="BJ8" s="76">
        <v>22601.73</v>
      </c>
      <c r="BK8" s="76">
        <v>74774.73</v>
      </c>
    </row>
    <row r="9" spans="1:63" s="7" customFormat="1" x14ac:dyDescent="0.25">
      <c r="A9" s="76" t="s">
        <v>249</v>
      </c>
      <c r="B9" s="76">
        <v>37673</v>
      </c>
      <c r="C9" s="76">
        <v>108282</v>
      </c>
      <c r="D9" s="76"/>
      <c r="E9" s="76"/>
      <c r="F9" s="76"/>
      <c r="G9" s="76"/>
      <c r="H9" s="76">
        <v>377737</v>
      </c>
      <c r="I9" s="76">
        <v>1160860</v>
      </c>
      <c r="J9" s="76"/>
      <c r="K9" s="76"/>
      <c r="L9" s="76">
        <v>162481</v>
      </c>
      <c r="M9" s="76">
        <v>438889</v>
      </c>
      <c r="N9" s="76">
        <v>156841</v>
      </c>
      <c r="O9" s="76">
        <v>453451</v>
      </c>
      <c r="P9" s="76"/>
      <c r="Q9" s="76"/>
      <c r="R9" s="76">
        <v>14335.73</v>
      </c>
      <c r="S9" s="76"/>
      <c r="T9" s="76">
        <v>119648.43</v>
      </c>
      <c r="U9" s="76">
        <v>311743.31</v>
      </c>
      <c r="V9" s="76">
        <v>393098</v>
      </c>
      <c r="W9" s="76">
        <v>1193303</v>
      </c>
      <c r="X9" s="76">
        <v>549302</v>
      </c>
      <c r="Y9" s="76">
        <v>1604812</v>
      </c>
      <c r="Z9" s="76">
        <v>256879</v>
      </c>
      <c r="AA9" s="76">
        <v>711650</v>
      </c>
      <c r="AB9" s="76">
        <v>28602</v>
      </c>
      <c r="AC9" s="76">
        <v>78603</v>
      </c>
      <c r="AD9" s="76">
        <v>52401.16</v>
      </c>
      <c r="AE9" s="76">
        <v>143277.75</v>
      </c>
      <c r="AF9" s="76">
        <v>69396</v>
      </c>
      <c r="AG9" s="76">
        <v>182602</v>
      </c>
      <c r="AH9" s="76"/>
      <c r="AI9" s="76"/>
      <c r="AJ9" s="76">
        <v>364910.81</v>
      </c>
      <c r="AK9" s="76">
        <v>1154812.29</v>
      </c>
      <c r="AL9" s="76">
        <v>1830</v>
      </c>
      <c r="AM9" s="76">
        <v>5560</v>
      </c>
      <c r="AN9" s="76"/>
      <c r="AO9" s="76"/>
      <c r="AP9" s="76">
        <v>8968.0499999999993</v>
      </c>
      <c r="AQ9" s="76">
        <v>33748.800000000003</v>
      </c>
      <c r="AR9" s="76">
        <v>47281</v>
      </c>
      <c r="AS9" s="76">
        <v>809697</v>
      </c>
      <c r="AT9" s="76">
        <v>90820.921199999997</v>
      </c>
      <c r="AU9" s="76">
        <v>245860.9063</v>
      </c>
      <c r="AV9" s="76">
        <v>191231.62</v>
      </c>
      <c r="AW9" s="76">
        <v>689942.49</v>
      </c>
      <c r="AX9" s="76">
        <v>60275</v>
      </c>
      <c r="AY9" s="76">
        <v>159408</v>
      </c>
      <c r="AZ9" s="76"/>
      <c r="BA9" s="76"/>
      <c r="BB9" s="76">
        <v>339719</v>
      </c>
      <c r="BC9" s="76">
        <v>935021</v>
      </c>
      <c r="BD9" s="76">
        <v>811698</v>
      </c>
      <c r="BE9" s="76">
        <v>2531483</v>
      </c>
      <c r="BF9" s="76">
        <v>349087</v>
      </c>
      <c r="BG9" s="76">
        <v>1149483</v>
      </c>
      <c r="BH9" s="76">
        <v>395527.89</v>
      </c>
      <c r="BI9" s="76">
        <v>1274269.0900000001</v>
      </c>
      <c r="BJ9" s="76">
        <v>105725.85</v>
      </c>
      <c r="BK9" s="76">
        <v>312643.40999999997</v>
      </c>
    </row>
    <row r="12" spans="1:63" x14ac:dyDescent="0.25">
      <c r="BD12"/>
    </row>
    <row r="13" spans="1:63" x14ac:dyDescent="0.25">
      <c r="BD13" s="70"/>
    </row>
  </sheetData>
  <mergeCells count="32">
    <mergeCell ref="BB3:BC3"/>
    <mergeCell ref="AD3:AE3"/>
    <mergeCell ref="B3:C3"/>
    <mergeCell ref="D3:E3"/>
    <mergeCell ref="F3:G3"/>
    <mergeCell ref="H3:I3"/>
    <mergeCell ref="J3:K3"/>
    <mergeCell ref="L3:M3"/>
    <mergeCell ref="V3:W3"/>
    <mergeCell ref="T3:U3"/>
    <mergeCell ref="R3:S3"/>
    <mergeCell ref="AR3:AS3"/>
    <mergeCell ref="AT3:AU3"/>
    <mergeCell ref="AV3:AW3"/>
    <mergeCell ref="AX3:AY3"/>
    <mergeCell ref="AZ3:BA3"/>
    <mergeCell ref="A3:A4"/>
    <mergeCell ref="BD3:BE3"/>
    <mergeCell ref="BF3:BG3"/>
    <mergeCell ref="BH3:BI3"/>
    <mergeCell ref="BJ3:BK3"/>
    <mergeCell ref="AF3:AG3"/>
    <mergeCell ref="AH3:AI3"/>
    <mergeCell ref="AJ3:AK3"/>
    <mergeCell ref="AL3:AM3"/>
    <mergeCell ref="AN3:AO3"/>
    <mergeCell ref="AP3:AQ3"/>
    <mergeCell ref="N3:O3"/>
    <mergeCell ref="P3:Q3"/>
    <mergeCell ref="X3:Y3"/>
    <mergeCell ref="Z3:AA3"/>
    <mergeCell ref="AB3:A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6.28515625" style="6" customWidth="1"/>
    <col min="2" max="32" width="16" style="6" customWidth="1"/>
    <col min="33" max="33" width="16" style="7" customWidth="1"/>
    <col min="34" max="16384" width="9.140625" style="6"/>
  </cols>
  <sheetData>
    <row r="1" spans="1:33" ht="18.75" x14ac:dyDescent="0.3">
      <c r="A1" s="8" t="s">
        <v>300</v>
      </c>
    </row>
    <row r="2" spans="1:33" x14ac:dyDescent="0.25">
      <c r="A2" s="5" t="s">
        <v>98</v>
      </c>
    </row>
    <row r="3" spans="1:33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  <c r="AG3" s="49" t="s">
        <v>20</v>
      </c>
    </row>
    <row r="4" spans="1:33" x14ac:dyDescent="0.25">
      <c r="A4" s="3" t="s">
        <v>194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42"/>
    </row>
    <row r="5" spans="1:33" x14ac:dyDescent="0.25">
      <c r="A5" s="2" t="s">
        <v>195</v>
      </c>
      <c r="B5" s="9">
        <v>214600</v>
      </c>
      <c r="C5" s="9">
        <v>50758</v>
      </c>
      <c r="D5" s="9">
        <v>20000</v>
      </c>
      <c r="E5" s="9">
        <v>11023</v>
      </c>
      <c r="F5" s="9">
        <v>94223</v>
      </c>
      <c r="G5" s="9">
        <v>29881</v>
      </c>
      <c r="H5" s="9">
        <v>87387</v>
      </c>
      <c r="I5" s="9">
        <v>395000</v>
      </c>
      <c r="J5" s="9">
        <v>63800</v>
      </c>
      <c r="K5" s="9">
        <v>90480.37</v>
      </c>
      <c r="L5" s="9">
        <v>71278</v>
      </c>
      <c r="M5" s="9">
        <v>49110</v>
      </c>
      <c r="N5" s="9">
        <v>28782</v>
      </c>
      <c r="O5" s="9">
        <v>68000</v>
      </c>
      <c r="P5" s="9">
        <v>108623</v>
      </c>
      <c r="Q5" s="9">
        <v>21122</v>
      </c>
      <c r="R5" s="9">
        <v>127893.13</v>
      </c>
      <c r="S5" s="9">
        <v>937500</v>
      </c>
      <c r="T5" s="9">
        <v>49579</v>
      </c>
      <c r="U5" s="9">
        <v>151011</v>
      </c>
      <c r="V5" s="9">
        <v>37112</v>
      </c>
      <c r="W5" s="9">
        <v>25200</v>
      </c>
      <c r="X5" s="9">
        <v>44900</v>
      </c>
      <c r="Y5" s="9">
        <v>21564</v>
      </c>
      <c r="Z5" s="9">
        <v>25916</v>
      </c>
      <c r="AA5" s="9">
        <v>58168</v>
      </c>
      <c r="AB5" s="9">
        <v>99446</v>
      </c>
      <c r="AC5" s="9">
        <v>82400</v>
      </c>
      <c r="AD5" s="9">
        <v>462000</v>
      </c>
      <c r="AE5" s="9">
        <v>390500</v>
      </c>
      <c r="AF5" s="9">
        <v>36818</v>
      </c>
      <c r="AG5" s="43">
        <f t="shared" ref="AG5:AG12" si="0">SUM(B5:AF5)</f>
        <v>3954074.5</v>
      </c>
    </row>
    <row r="6" spans="1:33" x14ac:dyDescent="0.25">
      <c r="A6" s="2" t="s">
        <v>196</v>
      </c>
      <c r="B6" s="9">
        <v>1939</v>
      </c>
      <c r="C6" s="9">
        <v>225988</v>
      </c>
      <c r="D6" s="9">
        <v>565302</v>
      </c>
      <c r="E6" s="9">
        <v>915611</v>
      </c>
      <c r="F6" s="9">
        <v>70766</v>
      </c>
      <c r="G6" s="9">
        <v>177910</v>
      </c>
      <c r="H6" s="9">
        <v>238234</v>
      </c>
      <c r="I6" s="9">
        <v>542650.82999999996</v>
      </c>
      <c r="J6" s="9"/>
      <c r="K6" s="9">
        <v>42596.33</v>
      </c>
      <c r="L6" s="9">
        <v>324678</v>
      </c>
      <c r="M6" s="9">
        <v>946223</v>
      </c>
      <c r="N6" s="9">
        <v>354506</v>
      </c>
      <c r="O6" s="9"/>
      <c r="P6" s="9">
        <v>74812</v>
      </c>
      <c r="Q6" s="9">
        <v>67173</v>
      </c>
      <c r="R6" s="9">
        <v>42483.35</v>
      </c>
      <c r="S6" s="9">
        <v>1547.57</v>
      </c>
      <c r="T6" s="9"/>
      <c r="U6" s="9">
        <v>33378</v>
      </c>
      <c r="V6" s="9">
        <v>16903</v>
      </c>
      <c r="W6" s="9">
        <v>226388</v>
      </c>
      <c r="X6" s="9">
        <v>104272</v>
      </c>
      <c r="Y6" s="9">
        <v>278824</v>
      </c>
      <c r="Z6" s="9">
        <v>207402</v>
      </c>
      <c r="AA6" s="9">
        <v>598011</v>
      </c>
      <c r="AB6" s="9">
        <v>291694</v>
      </c>
      <c r="AC6" s="9">
        <v>1934084</v>
      </c>
      <c r="AD6" s="9">
        <v>26</v>
      </c>
      <c r="AE6" s="9">
        <v>13507</v>
      </c>
      <c r="AF6" s="9">
        <v>86622</v>
      </c>
      <c r="AG6" s="43">
        <f t="shared" si="0"/>
        <v>8383531.0800000001</v>
      </c>
    </row>
    <row r="7" spans="1:33" ht="15" customHeight="1" x14ac:dyDescent="0.25">
      <c r="A7" s="2" t="s">
        <v>290</v>
      </c>
      <c r="B7" s="9">
        <v>6</v>
      </c>
      <c r="C7" s="9">
        <v>5</v>
      </c>
      <c r="D7" s="9">
        <v>823</v>
      </c>
      <c r="E7" s="9">
        <v>9092</v>
      </c>
      <c r="F7" s="9">
        <v>-124</v>
      </c>
      <c r="G7" s="9">
        <v>464</v>
      </c>
      <c r="H7" s="9">
        <v>9361</v>
      </c>
      <c r="I7" s="9">
        <v>37435</v>
      </c>
      <c r="J7" s="9">
        <v>155</v>
      </c>
      <c r="K7" s="9">
        <v>117.13</v>
      </c>
      <c r="L7" s="9">
        <v>1858</v>
      </c>
      <c r="M7" s="9">
        <v>13247</v>
      </c>
      <c r="N7" s="9">
        <v>41</v>
      </c>
      <c r="O7" s="9"/>
      <c r="P7" s="9">
        <v>7</v>
      </c>
      <c r="Q7" s="9">
        <v>1</v>
      </c>
      <c r="R7" s="9">
        <v>6.07</v>
      </c>
      <c r="S7" s="9">
        <v>5804.61</v>
      </c>
      <c r="T7" s="9"/>
      <c r="U7" s="9">
        <v>-497</v>
      </c>
      <c r="V7" s="9">
        <v>14</v>
      </c>
      <c r="W7" s="9">
        <v>229</v>
      </c>
      <c r="X7" s="9">
        <v>782</v>
      </c>
      <c r="Y7" s="9">
        <v>3525</v>
      </c>
      <c r="Z7" s="9"/>
      <c r="AA7" s="9">
        <v>1963</v>
      </c>
      <c r="AB7" s="9">
        <v>16642</v>
      </c>
      <c r="AC7" s="9">
        <v>539024</v>
      </c>
      <c r="AD7" s="9">
        <v>-122621</v>
      </c>
      <c r="AE7" s="9">
        <v>5238</v>
      </c>
      <c r="AF7" s="9">
        <v>108</v>
      </c>
      <c r="AG7" s="43">
        <f t="shared" si="0"/>
        <v>522705.81000000006</v>
      </c>
    </row>
    <row r="8" spans="1:33" ht="15" customHeight="1" x14ac:dyDescent="0.25">
      <c r="A8" s="2" t="s">
        <v>291</v>
      </c>
      <c r="B8" s="9">
        <v>7</v>
      </c>
      <c r="C8" s="9">
        <v>19</v>
      </c>
      <c r="D8" s="9">
        <v>2728</v>
      </c>
      <c r="E8" s="9">
        <v>20701</v>
      </c>
      <c r="F8" s="9">
        <v>-41</v>
      </c>
      <c r="G8" s="9">
        <v>3213</v>
      </c>
      <c r="H8" s="9">
        <v>-86</v>
      </c>
      <c r="I8" s="9">
        <v>37435</v>
      </c>
      <c r="J8" s="9">
        <v>-53</v>
      </c>
      <c r="K8" s="9">
        <v>460.95</v>
      </c>
      <c r="L8" s="9">
        <v>7221</v>
      </c>
      <c r="M8" s="9">
        <v>41780</v>
      </c>
      <c r="N8" s="9">
        <v>143</v>
      </c>
      <c r="O8" s="9"/>
      <c r="P8" s="9">
        <v>22</v>
      </c>
      <c r="Q8" s="9">
        <v>8</v>
      </c>
      <c r="R8" s="9">
        <v>2.98</v>
      </c>
      <c r="S8" s="9">
        <v>325206.32</v>
      </c>
      <c r="T8" s="9"/>
      <c r="U8" s="9">
        <v>21</v>
      </c>
      <c r="V8" s="9">
        <v>48</v>
      </c>
      <c r="W8" s="9">
        <v>1096</v>
      </c>
      <c r="X8" s="9">
        <v>4071</v>
      </c>
      <c r="Y8" s="9"/>
      <c r="Z8" s="9"/>
      <c r="AA8" s="9">
        <v>2774</v>
      </c>
      <c r="AB8" s="9">
        <v>87592</v>
      </c>
      <c r="AC8" s="9">
        <v>1343246</v>
      </c>
      <c r="AD8" s="9">
        <v>819334</v>
      </c>
      <c r="AE8" s="9">
        <v>394612</v>
      </c>
      <c r="AF8" s="9">
        <v>387</v>
      </c>
      <c r="AG8" s="43">
        <f t="shared" si="0"/>
        <v>3091948.25</v>
      </c>
    </row>
    <row r="9" spans="1:33" s="20" customFormat="1" x14ac:dyDescent="0.25">
      <c r="A9" s="11" t="s">
        <v>292</v>
      </c>
      <c r="B9" s="19">
        <f>B7+B8</f>
        <v>13</v>
      </c>
      <c r="C9" s="19">
        <f t="shared" ref="C9:AF9" si="1">C7+C8</f>
        <v>24</v>
      </c>
      <c r="D9" s="19">
        <f t="shared" si="1"/>
        <v>3551</v>
      </c>
      <c r="E9" s="19">
        <f t="shared" si="1"/>
        <v>29793</v>
      </c>
      <c r="F9" s="19">
        <f t="shared" si="1"/>
        <v>-165</v>
      </c>
      <c r="G9" s="19">
        <f t="shared" si="1"/>
        <v>3677</v>
      </c>
      <c r="H9" s="19">
        <f t="shared" si="1"/>
        <v>9275</v>
      </c>
      <c r="I9" s="19">
        <f t="shared" si="1"/>
        <v>74870</v>
      </c>
      <c r="J9" s="19">
        <f t="shared" si="1"/>
        <v>102</v>
      </c>
      <c r="K9" s="19">
        <f t="shared" si="1"/>
        <v>578.07999999999993</v>
      </c>
      <c r="L9" s="19">
        <f t="shared" si="1"/>
        <v>9079</v>
      </c>
      <c r="M9" s="19">
        <f t="shared" si="1"/>
        <v>55027</v>
      </c>
      <c r="N9" s="19">
        <f t="shared" si="1"/>
        <v>184</v>
      </c>
      <c r="O9" s="19">
        <f t="shared" si="1"/>
        <v>0</v>
      </c>
      <c r="P9" s="19">
        <f t="shared" si="1"/>
        <v>29</v>
      </c>
      <c r="Q9" s="19">
        <f t="shared" si="1"/>
        <v>9</v>
      </c>
      <c r="R9" s="19">
        <f t="shared" si="1"/>
        <v>9.0500000000000007</v>
      </c>
      <c r="S9" s="19">
        <f t="shared" si="1"/>
        <v>331010.93</v>
      </c>
      <c r="T9" s="19">
        <f t="shared" si="1"/>
        <v>0</v>
      </c>
      <c r="U9" s="19">
        <f t="shared" si="1"/>
        <v>-476</v>
      </c>
      <c r="V9" s="19">
        <f t="shared" si="1"/>
        <v>62</v>
      </c>
      <c r="W9" s="19">
        <f t="shared" si="1"/>
        <v>1325</v>
      </c>
      <c r="X9" s="19">
        <f t="shared" si="1"/>
        <v>4853</v>
      </c>
      <c r="Y9" s="19">
        <f t="shared" si="1"/>
        <v>3525</v>
      </c>
      <c r="Z9" s="19">
        <v>-1858</v>
      </c>
      <c r="AA9" s="19">
        <f t="shared" si="1"/>
        <v>4737</v>
      </c>
      <c r="AB9" s="19">
        <f t="shared" si="1"/>
        <v>104234</v>
      </c>
      <c r="AC9" s="19">
        <f t="shared" si="1"/>
        <v>1882270</v>
      </c>
      <c r="AD9" s="19">
        <f t="shared" si="1"/>
        <v>696713</v>
      </c>
      <c r="AE9" s="19">
        <f t="shared" si="1"/>
        <v>399850</v>
      </c>
      <c r="AF9" s="19">
        <f t="shared" si="1"/>
        <v>495</v>
      </c>
      <c r="AG9" s="44">
        <f t="shared" si="0"/>
        <v>3612796.06</v>
      </c>
    </row>
    <row r="10" spans="1:33" x14ac:dyDescent="0.25">
      <c r="A10" s="2" t="s">
        <v>197</v>
      </c>
      <c r="B10" s="9"/>
      <c r="C10" s="9"/>
      <c r="D10" s="9"/>
      <c r="E10" s="9"/>
      <c r="F10" s="9"/>
      <c r="G10" s="9">
        <v>10000</v>
      </c>
      <c r="H10" s="9"/>
      <c r="I10" s="9"/>
      <c r="J10" s="9"/>
      <c r="K10" s="9">
        <v>9500</v>
      </c>
      <c r="L10" s="9">
        <v>52900</v>
      </c>
      <c r="M10" s="9">
        <v>3500</v>
      </c>
      <c r="N10" s="9"/>
      <c r="O10" s="9"/>
      <c r="P10" s="9"/>
      <c r="Q10" s="9">
        <v>10009</v>
      </c>
      <c r="R10" s="9">
        <v>11100</v>
      </c>
      <c r="S10" s="9">
        <v>89500</v>
      </c>
      <c r="T10" s="9"/>
      <c r="U10" s="9">
        <v>25000</v>
      </c>
      <c r="V10" s="9"/>
      <c r="W10" s="9">
        <v>23000</v>
      </c>
      <c r="X10" s="9">
        <v>12600</v>
      </c>
      <c r="Y10" s="9"/>
      <c r="Z10" s="9"/>
      <c r="AA10" s="9">
        <v>47000</v>
      </c>
      <c r="AB10" s="9">
        <v>18500</v>
      </c>
      <c r="AC10" s="9"/>
      <c r="AD10" s="9">
        <v>75000</v>
      </c>
      <c r="AE10" s="9">
        <v>90000</v>
      </c>
      <c r="AF10" s="9"/>
      <c r="AG10" s="43">
        <f t="shared" si="0"/>
        <v>477609</v>
      </c>
    </row>
    <row r="11" spans="1:33" x14ac:dyDescent="0.25">
      <c r="A11" s="2" t="s">
        <v>31</v>
      </c>
      <c r="B11" s="9">
        <f>B12-B10-B9-B6-B5</f>
        <v>0</v>
      </c>
      <c r="C11" s="9">
        <f t="shared" ref="C11:AF11" si="2">C12-C10-C9-C6-C5</f>
        <v>0</v>
      </c>
      <c r="D11" s="9">
        <f t="shared" si="2"/>
        <v>-1</v>
      </c>
      <c r="E11" s="9">
        <f t="shared" si="2"/>
        <v>0</v>
      </c>
      <c r="F11" s="9">
        <f t="shared" si="2"/>
        <v>0</v>
      </c>
      <c r="G11" s="9">
        <f t="shared" si="2"/>
        <v>-1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4252.5900000000111</v>
      </c>
      <c r="L11" s="9">
        <f t="shared" si="2"/>
        <v>0</v>
      </c>
      <c r="M11" s="9">
        <f t="shared" si="2"/>
        <v>0</v>
      </c>
      <c r="N11" s="9">
        <f t="shared" si="2"/>
        <v>0</v>
      </c>
      <c r="O11" s="9">
        <f t="shared" si="2"/>
        <v>0</v>
      </c>
      <c r="P11" s="9">
        <f t="shared" si="2"/>
        <v>0</v>
      </c>
      <c r="Q11" s="9">
        <f t="shared" si="2"/>
        <v>603</v>
      </c>
      <c r="R11" s="9">
        <f t="shared" si="2"/>
        <v>0</v>
      </c>
      <c r="S11" s="9">
        <f t="shared" si="2"/>
        <v>0</v>
      </c>
      <c r="T11" s="9">
        <f t="shared" si="2"/>
        <v>0</v>
      </c>
      <c r="U11" s="9">
        <f t="shared" si="2"/>
        <v>0</v>
      </c>
      <c r="V11" s="9">
        <f t="shared" si="2"/>
        <v>0</v>
      </c>
      <c r="W11" s="9">
        <f t="shared" si="2"/>
        <v>28</v>
      </c>
      <c r="X11" s="9">
        <f t="shared" si="2"/>
        <v>-1</v>
      </c>
      <c r="Y11" s="9">
        <f t="shared" si="2"/>
        <v>0</v>
      </c>
      <c r="Z11" s="9">
        <f t="shared" si="2"/>
        <v>1</v>
      </c>
      <c r="AA11" s="9">
        <f t="shared" si="2"/>
        <v>357</v>
      </c>
      <c r="AB11" s="9">
        <f t="shared" si="2"/>
        <v>-1</v>
      </c>
      <c r="AC11" s="9">
        <f t="shared" si="2"/>
        <v>0</v>
      </c>
      <c r="AD11" s="9">
        <f t="shared" si="2"/>
        <v>-1</v>
      </c>
      <c r="AE11" s="9">
        <f t="shared" si="2"/>
        <v>1</v>
      </c>
      <c r="AF11" s="9">
        <f t="shared" si="2"/>
        <v>0</v>
      </c>
      <c r="AG11" s="43">
        <f t="shared" si="0"/>
        <v>5237.5900000000111</v>
      </c>
    </row>
    <row r="12" spans="1:33" s="7" customFormat="1" x14ac:dyDescent="0.25">
      <c r="A12" s="3" t="s">
        <v>40</v>
      </c>
      <c r="B12" s="10">
        <v>216552</v>
      </c>
      <c r="C12" s="10">
        <v>276770</v>
      </c>
      <c r="D12" s="10">
        <v>588852</v>
      </c>
      <c r="E12" s="10">
        <v>956427</v>
      </c>
      <c r="F12" s="10">
        <v>164824</v>
      </c>
      <c r="G12" s="10">
        <v>221467</v>
      </c>
      <c r="H12" s="10">
        <v>334896</v>
      </c>
      <c r="I12" s="10">
        <v>1012520.83</v>
      </c>
      <c r="J12" s="10">
        <v>63902</v>
      </c>
      <c r="K12" s="10">
        <v>147407.37</v>
      </c>
      <c r="L12" s="10">
        <v>457935</v>
      </c>
      <c r="M12" s="10">
        <v>1053860</v>
      </c>
      <c r="N12" s="10">
        <v>383472</v>
      </c>
      <c r="O12" s="10">
        <v>68000</v>
      </c>
      <c r="P12" s="10">
        <v>183464</v>
      </c>
      <c r="Q12" s="10">
        <v>98916</v>
      </c>
      <c r="R12" s="10">
        <v>181485.53</v>
      </c>
      <c r="S12" s="10">
        <v>1359558.5</v>
      </c>
      <c r="T12" s="10">
        <v>49579</v>
      </c>
      <c r="U12" s="10">
        <v>208913</v>
      </c>
      <c r="V12" s="10">
        <v>54077</v>
      </c>
      <c r="W12" s="10">
        <v>275941</v>
      </c>
      <c r="X12" s="10">
        <v>166624</v>
      </c>
      <c r="Y12" s="10">
        <v>303913</v>
      </c>
      <c r="Z12" s="10">
        <v>231461</v>
      </c>
      <c r="AA12" s="10">
        <v>708273</v>
      </c>
      <c r="AB12" s="10">
        <v>513873</v>
      </c>
      <c r="AC12" s="10">
        <v>3898754</v>
      </c>
      <c r="AD12" s="10">
        <v>1233738</v>
      </c>
      <c r="AE12" s="10">
        <v>893858</v>
      </c>
      <c r="AF12" s="10">
        <v>123935</v>
      </c>
      <c r="AG12" s="42">
        <f t="shared" si="0"/>
        <v>16433248.23</v>
      </c>
    </row>
    <row r="13" spans="1:33" s="7" customFormat="1" x14ac:dyDescent="0.25">
      <c r="A13" s="3" t="s">
        <v>198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42"/>
    </row>
    <row r="14" spans="1:33" x14ac:dyDescent="0.25">
      <c r="A14" s="2" t="s">
        <v>199</v>
      </c>
      <c r="B14" s="9">
        <v>100645</v>
      </c>
      <c r="C14" s="9">
        <v>82400</v>
      </c>
      <c r="D14" s="9">
        <v>315236</v>
      </c>
      <c r="E14" s="9">
        <v>649925</v>
      </c>
      <c r="F14" s="9">
        <v>163786</v>
      </c>
      <c r="G14" s="9">
        <v>176825</v>
      </c>
      <c r="H14" s="9">
        <v>154983</v>
      </c>
      <c r="I14" s="9">
        <v>727596.31</v>
      </c>
      <c r="J14" s="9">
        <v>10252</v>
      </c>
      <c r="K14" s="9">
        <v>152034.18</v>
      </c>
      <c r="L14" s="9">
        <v>419257</v>
      </c>
      <c r="M14" s="9">
        <v>964208</v>
      </c>
      <c r="N14" s="9">
        <v>352018</v>
      </c>
      <c r="O14" s="9">
        <v>38368</v>
      </c>
      <c r="P14" s="9">
        <v>85272</v>
      </c>
      <c r="Q14" s="9">
        <v>71656</v>
      </c>
      <c r="R14" s="9">
        <v>42245.69</v>
      </c>
      <c r="S14" s="9">
        <v>58488.68</v>
      </c>
      <c r="T14" s="9">
        <v>13565</v>
      </c>
      <c r="U14" s="9">
        <v>112921</v>
      </c>
      <c r="V14" s="9">
        <v>20470</v>
      </c>
      <c r="W14" s="9">
        <v>286072</v>
      </c>
      <c r="X14" s="9">
        <v>124336</v>
      </c>
      <c r="Y14" s="9">
        <v>249486</v>
      </c>
      <c r="Z14" s="9">
        <v>136637</v>
      </c>
      <c r="AA14" s="9">
        <v>500602</v>
      </c>
      <c r="AB14" s="9">
        <v>399784</v>
      </c>
      <c r="AC14" s="9">
        <v>2191504</v>
      </c>
      <c r="AD14" s="9">
        <v>-500268</v>
      </c>
      <c r="AE14" s="9">
        <v>47057</v>
      </c>
      <c r="AF14" s="9">
        <v>82564</v>
      </c>
      <c r="AG14" s="43">
        <f t="shared" ref="AG14:AG19" si="3">SUM(B14:AF14)</f>
        <v>8229925.8599999994</v>
      </c>
    </row>
    <row r="15" spans="1:33" x14ac:dyDescent="0.25">
      <c r="A15" s="2" t="s">
        <v>200</v>
      </c>
      <c r="B15" s="9">
        <v>107671</v>
      </c>
      <c r="C15" s="9">
        <v>188659</v>
      </c>
      <c r="D15" s="9">
        <v>1045615</v>
      </c>
      <c r="E15" s="9">
        <v>1898172</v>
      </c>
      <c r="F15" s="9">
        <v>293801</v>
      </c>
      <c r="G15" s="9">
        <v>1224780</v>
      </c>
      <c r="H15" s="9">
        <v>1013602</v>
      </c>
      <c r="I15" s="9">
        <v>727596.31</v>
      </c>
      <c r="J15" s="9">
        <v>51063</v>
      </c>
      <c r="K15" s="9">
        <v>467858.11</v>
      </c>
      <c r="L15" s="9">
        <v>1629834</v>
      </c>
      <c r="M15" s="9">
        <v>3180896</v>
      </c>
      <c r="N15" s="9">
        <v>1218112</v>
      </c>
      <c r="O15" s="9">
        <v>123673</v>
      </c>
      <c r="P15" s="9">
        <v>271024</v>
      </c>
      <c r="Q15" s="9">
        <v>429537</v>
      </c>
      <c r="R15" s="9">
        <v>87950.12</v>
      </c>
      <c r="S15" s="9">
        <v>3276858.76</v>
      </c>
      <c r="T15" s="9">
        <v>38610</v>
      </c>
      <c r="U15" s="9">
        <v>200934</v>
      </c>
      <c r="V15" s="9">
        <v>70386</v>
      </c>
      <c r="W15" s="9">
        <v>1371994</v>
      </c>
      <c r="X15" s="9">
        <v>647484</v>
      </c>
      <c r="Y15" s="9">
        <v>885427</v>
      </c>
      <c r="Z15" s="9">
        <v>983778</v>
      </c>
      <c r="AA15" s="9">
        <v>707293</v>
      </c>
      <c r="AB15" s="9">
        <v>1858355</v>
      </c>
      <c r="AC15" s="9">
        <v>5176572</v>
      </c>
      <c r="AD15" s="9">
        <v>3342699</v>
      </c>
      <c r="AE15" s="9">
        <v>3545061</v>
      </c>
      <c r="AF15" s="9">
        <v>297057</v>
      </c>
      <c r="AG15" s="43">
        <f t="shared" si="3"/>
        <v>36362352.299999997</v>
      </c>
    </row>
    <row r="16" spans="1:33" s="20" customFormat="1" x14ac:dyDescent="0.25">
      <c r="A16" s="11" t="s">
        <v>201</v>
      </c>
      <c r="B16" s="19">
        <f t="shared" ref="B16:D16" si="4">B14+B15</f>
        <v>208316</v>
      </c>
      <c r="C16" s="19">
        <f t="shared" si="4"/>
        <v>271059</v>
      </c>
      <c r="D16" s="19">
        <f t="shared" si="4"/>
        <v>1360851</v>
      </c>
      <c r="E16" s="19">
        <f>E14+E15</f>
        <v>2548097</v>
      </c>
      <c r="F16" s="19">
        <f t="shared" ref="F16:AF16" si="5">F14+F15</f>
        <v>457587</v>
      </c>
      <c r="G16" s="19">
        <f t="shared" si="5"/>
        <v>1401605</v>
      </c>
      <c r="H16" s="19">
        <f t="shared" si="5"/>
        <v>1168585</v>
      </c>
      <c r="I16" s="19">
        <f t="shared" si="5"/>
        <v>1455192.62</v>
      </c>
      <c r="J16" s="19">
        <f t="shared" si="5"/>
        <v>61315</v>
      </c>
      <c r="K16" s="19">
        <f t="shared" si="5"/>
        <v>619892.29</v>
      </c>
      <c r="L16" s="19">
        <f t="shared" si="5"/>
        <v>2049091</v>
      </c>
      <c r="M16" s="19">
        <f t="shared" si="5"/>
        <v>4145104</v>
      </c>
      <c r="N16" s="19">
        <f t="shared" si="5"/>
        <v>1570130</v>
      </c>
      <c r="O16" s="19">
        <f t="shared" si="5"/>
        <v>162041</v>
      </c>
      <c r="P16" s="19">
        <f t="shared" si="5"/>
        <v>356296</v>
      </c>
      <c r="Q16" s="19">
        <f t="shared" si="5"/>
        <v>501193</v>
      </c>
      <c r="R16" s="19">
        <f t="shared" si="5"/>
        <v>130195.81</v>
      </c>
      <c r="S16" s="19">
        <f t="shared" si="5"/>
        <v>3335347.44</v>
      </c>
      <c r="T16" s="19">
        <f t="shared" si="5"/>
        <v>52175</v>
      </c>
      <c r="U16" s="19">
        <f t="shared" si="5"/>
        <v>313855</v>
      </c>
      <c r="V16" s="19">
        <f t="shared" si="5"/>
        <v>90856</v>
      </c>
      <c r="W16" s="19">
        <f t="shared" si="5"/>
        <v>1658066</v>
      </c>
      <c r="X16" s="19">
        <f t="shared" si="5"/>
        <v>771820</v>
      </c>
      <c r="Y16" s="19">
        <f t="shared" si="5"/>
        <v>1134913</v>
      </c>
      <c r="Z16" s="19">
        <f t="shared" si="5"/>
        <v>1120415</v>
      </c>
      <c r="AA16" s="19">
        <f t="shared" si="5"/>
        <v>1207895</v>
      </c>
      <c r="AB16" s="19">
        <f t="shared" si="5"/>
        <v>2258139</v>
      </c>
      <c r="AC16" s="19">
        <v>7235143.5499999998</v>
      </c>
      <c r="AD16" s="19">
        <f t="shared" si="5"/>
        <v>2842431</v>
      </c>
      <c r="AE16" s="19">
        <f t="shared" si="5"/>
        <v>3592118</v>
      </c>
      <c r="AF16" s="19">
        <f t="shared" si="5"/>
        <v>379621</v>
      </c>
      <c r="AG16" s="44">
        <f t="shared" si="3"/>
        <v>44459345.710000001</v>
      </c>
    </row>
    <row r="17" spans="1:33" x14ac:dyDescent="0.25">
      <c r="A17" s="2" t="s">
        <v>202</v>
      </c>
      <c r="B17" s="9"/>
      <c r="C17" s="9"/>
      <c r="D17" s="9">
        <v>1500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3233.09</v>
      </c>
      <c r="T17" s="9"/>
      <c r="U17" s="9"/>
      <c r="V17" s="9"/>
      <c r="W17" s="9"/>
      <c r="X17" s="9"/>
      <c r="Y17" s="9"/>
      <c r="Z17" s="9"/>
      <c r="AA17" s="9"/>
      <c r="AB17" s="9"/>
      <c r="AC17" s="9">
        <v>32966</v>
      </c>
      <c r="AD17" s="9">
        <v>13812</v>
      </c>
      <c r="AE17" s="9">
        <v>20578</v>
      </c>
      <c r="AF17" s="9"/>
      <c r="AG17" s="43">
        <f t="shared" si="3"/>
        <v>72089.09</v>
      </c>
    </row>
    <row r="18" spans="1:33" x14ac:dyDescent="0.25">
      <c r="A18" s="2" t="s">
        <v>203</v>
      </c>
      <c r="B18" s="9">
        <v>538</v>
      </c>
      <c r="C18" s="9">
        <v>13287</v>
      </c>
      <c r="D18" s="9">
        <v>18506</v>
      </c>
      <c r="E18" s="9">
        <v>43920</v>
      </c>
      <c r="F18" s="9">
        <v>5341</v>
      </c>
      <c r="G18" s="9">
        <v>9921</v>
      </c>
      <c r="H18" s="9">
        <v>15185</v>
      </c>
      <c r="I18" s="9">
        <v>36562.370000000003</v>
      </c>
      <c r="J18" s="9">
        <v>2896</v>
      </c>
      <c r="K18" s="9">
        <v>6021.62</v>
      </c>
      <c r="L18" s="9">
        <v>32100</v>
      </c>
      <c r="M18" s="9">
        <v>55056</v>
      </c>
      <c r="N18" s="9">
        <v>18918</v>
      </c>
      <c r="O18" s="9">
        <v>1598</v>
      </c>
      <c r="P18" s="9">
        <v>4200</v>
      </c>
      <c r="Q18" s="9">
        <v>3769</v>
      </c>
      <c r="R18" s="9">
        <v>2158.11</v>
      </c>
      <c r="S18" s="9">
        <v>55456.13</v>
      </c>
      <c r="T18" s="9">
        <v>7</v>
      </c>
      <c r="U18" s="9">
        <v>5723</v>
      </c>
      <c r="V18" s="9">
        <v>1225</v>
      </c>
      <c r="W18" s="9">
        <v>9757</v>
      </c>
      <c r="X18" s="9">
        <v>2623</v>
      </c>
      <c r="Y18" s="9">
        <v>25623</v>
      </c>
      <c r="Z18" s="9">
        <v>4438</v>
      </c>
      <c r="AA18" s="9">
        <v>10918</v>
      </c>
      <c r="AB18" s="9">
        <v>35280</v>
      </c>
      <c r="AC18" s="9">
        <v>42165</v>
      </c>
      <c r="AD18" s="9">
        <v>51467</v>
      </c>
      <c r="AE18" s="9">
        <v>41715</v>
      </c>
      <c r="AF18" s="9">
        <v>4514</v>
      </c>
      <c r="AG18" s="43">
        <f t="shared" si="3"/>
        <v>560888.23</v>
      </c>
    </row>
    <row r="19" spans="1:33" x14ac:dyDescent="0.25">
      <c r="A19" s="2" t="s">
        <v>204</v>
      </c>
      <c r="B19" s="9"/>
      <c r="C19" s="9"/>
      <c r="D19" s="9">
        <v>2693</v>
      </c>
      <c r="E19" s="9">
        <v>3456</v>
      </c>
      <c r="F19" s="9">
        <v>4361</v>
      </c>
      <c r="G19" s="9">
        <v>18530</v>
      </c>
      <c r="H19" s="9"/>
      <c r="I19" s="9">
        <v>4388.91</v>
      </c>
      <c r="J19" s="9"/>
      <c r="K19" s="9">
        <v>2008.49</v>
      </c>
      <c r="L19" s="9">
        <v>5525</v>
      </c>
      <c r="M19" s="9">
        <v>38883</v>
      </c>
      <c r="N19" s="9">
        <v>2473</v>
      </c>
      <c r="O19" s="9"/>
      <c r="P19" s="9"/>
      <c r="Q19" s="9">
        <v>2720</v>
      </c>
      <c r="R19" s="9"/>
      <c r="S19" s="9"/>
      <c r="T19" s="9"/>
      <c r="U19" s="9"/>
      <c r="V19" s="9">
        <v>663</v>
      </c>
      <c r="W19" s="9">
        <v>3727</v>
      </c>
      <c r="X19" s="9">
        <v>4511</v>
      </c>
      <c r="Y19" s="9">
        <v>2229</v>
      </c>
      <c r="Z19" s="9">
        <v>3870</v>
      </c>
      <c r="AA19" s="9">
        <v>60316</v>
      </c>
      <c r="AB19" s="9">
        <v>1773</v>
      </c>
      <c r="AC19" s="9">
        <v>29376</v>
      </c>
      <c r="AD19" s="9"/>
      <c r="AE19" s="9"/>
      <c r="AF19" s="9">
        <v>1568</v>
      </c>
      <c r="AG19" s="43">
        <f t="shared" si="3"/>
        <v>193071.4</v>
      </c>
    </row>
    <row r="20" spans="1:33" x14ac:dyDescent="0.25">
      <c r="A20" s="11" t="s">
        <v>205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43"/>
    </row>
    <row r="21" spans="1:33" x14ac:dyDescent="0.25">
      <c r="A21" s="2" t="s">
        <v>206</v>
      </c>
      <c r="B21" s="9">
        <v>1012</v>
      </c>
      <c r="C21" s="9">
        <v>2497</v>
      </c>
      <c r="D21" s="9">
        <v>310186</v>
      </c>
      <c r="E21" s="9">
        <v>50555</v>
      </c>
      <c r="F21" s="9">
        <v>7848</v>
      </c>
      <c r="G21" s="9">
        <v>1900</v>
      </c>
      <c r="H21" s="9">
        <v>14040</v>
      </c>
      <c r="I21" s="9">
        <v>139420.22</v>
      </c>
      <c r="J21" s="9">
        <v>1032</v>
      </c>
      <c r="K21" s="9">
        <v>5778.84</v>
      </c>
      <c r="L21" s="9">
        <v>17430</v>
      </c>
      <c r="M21" s="9">
        <v>20790</v>
      </c>
      <c r="N21" s="9">
        <v>4480</v>
      </c>
      <c r="O21" s="9">
        <v>1551</v>
      </c>
      <c r="P21" s="9">
        <v>633</v>
      </c>
      <c r="Q21" s="9">
        <v>5412</v>
      </c>
      <c r="R21" s="9">
        <v>595.61</v>
      </c>
      <c r="S21" s="9">
        <v>68680.100000000006</v>
      </c>
      <c r="T21" s="9">
        <v>181</v>
      </c>
      <c r="U21" s="9">
        <v>9112</v>
      </c>
      <c r="V21" s="9">
        <v>117</v>
      </c>
      <c r="W21" s="9">
        <v>9598</v>
      </c>
      <c r="X21" s="9">
        <v>3346</v>
      </c>
      <c r="Y21" s="9">
        <v>9350</v>
      </c>
      <c r="Z21" s="9">
        <v>2817</v>
      </c>
      <c r="AA21" s="9">
        <v>17251</v>
      </c>
      <c r="AB21" s="9">
        <v>26307</v>
      </c>
      <c r="AC21" s="9">
        <v>1157034</v>
      </c>
      <c r="AD21" s="9">
        <v>192571</v>
      </c>
      <c r="AE21" s="9">
        <v>78697</v>
      </c>
      <c r="AF21" s="9">
        <v>23245</v>
      </c>
      <c r="AG21" s="43">
        <f t="shared" ref="AG21:AG30" si="6">SUM(B21:AF21)</f>
        <v>2183466.77</v>
      </c>
    </row>
    <row r="22" spans="1:33" x14ac:dyDescent="0.25">
      <c r="A22" s="2" t="s">
        <v>207</v>
      </c>
      <c r="B22" s="9">
        <v>9358</v>
      </c>
      <c r="C22" s="9">
        <v>15652</v>
      </c>
      <c r="D22" s="9">
        <v>1132487</v>
      </c>
      <c r="E22" s="9">
        <v>387927</v>
      </c>
      <c r="F22" s="9">
        <v>27568</v>
      </c>
      <c r="G22" s="9">
        <v>102033</v>
      </c>
      <c r="H22" s="9">
        <v>77678</v>
      </c>
      <c r="I22" s="9">
        <v>96129.919999999998</v>
      </c>
      <c r="J22" s="9">
        <v>26166</v>
      </c>
      <c r="K22" s="9">
        <v>86415.71</v>
      </c>
      <c r="L22" s="9">
        <v>302927</v>
      </c>
      <c r="M22" s="9">
        <v>1250883</v>
      </c>
      <c r="N22" s="9">
        <v>228965</v>
      </c>
      <c r="O22" s="9">
        <v>14741</v>
      </c>
      <c r="P22" s="9">
        <v>34248</v>
      </c>
      <c r="Q22" s="9">
        <v>34109</v>
      </c>
      <c r="R22" s="9">
        <v>6819.29</v>
      </c>
      <c r="S22" s="9">
        <v>564013.06999999995</v>
      </c>
      <c r="T22" s="9">
        <v>17228</v>
      </c>
      <c r="U22" s="9">
        <v>30722</v>
      </c>
      <c r="V22" s="9">
        <v>7174</v>
      </c>
      <c r="W22" s="9">
        <v>321571</v>
      </c>
      <c r="X22" s="9">
        <v>96372</v>
      </c>
      <c r="Y22" s="9">
        <v>189151</v>
      </c>
      <c r="Z22" s="9">
        <v>38348</v>
      </c>
      <c r="AA22" s="9">
        <v>78270</v>
      </c>
      <c r="AB22" s="9">
        <v>150181</v>
      </c>
      <c r="AC22" s="9">
        <v>958593</v>
      </c>
      <c r="AD22" s="9">
        <v>507879</v>
      </c>
      <c r="AE22" s="9">
        <v>631868</v>
      </c>
      <c r="AF22" s="9">
        <v>115675</v>
      </c>
      <c r="AG22" s="43">
        <f t="shared" si="6"/>
        <v>7541151.9900000002</v>
      </c>
    </row>
    <row r="23" spans="1:33" s="20" customFormat="1" x14ac:dyDescent="0.25">
      <c r="A23" s="11" t="s">
        <v>208</v>
      </c>
      <c r="B23" s="19">
        <f>B21+B22</f>
        <v>10370</v>
      </c>
      <c r="C23" s="19">
        <f t="shared" ref="C23:AF23" si="7">C21+C22</f>
        <v>18149</v>
      </c>
      <c r="D23" s="19">
        <f t="shared" si="7"/>
        <v>1442673</v>
      </c>
      <c r="E23" s="19">
        <f t="shared" si="7"/>
        <v>438482</v>
      </c>
      <c r="F23" s="19">
        <f t="shared" si="7"/>
        <v>35416</v>
      </c>
      <c r="G23" s="19">
        <f t="shared" si="7"/>
        <v>103933</v>
      </c>
      <c r="H23" s="19">
        <f t="shared" si="7"/>
        <v>91718</v>
      </c>
      <c r="I23" s="19">
        <f t="shared" si="7"/>
        <v>235550.14</v>
      </c>
      <c r="J23" s="19">
        <f t="shared" si="7"/>
        <v>27198</v>
      </c>
      <c r="K23" s="19">
        <f t="shared" si="7"/>
        <v>92194.55</v>
      </c>
      <c r="L23" s="19">
        <f t="shared" si="7"/>
        <v>320357</v>
      </c>
      <c r="M23" s="19">
        <f t="shared" si="7"/>
        <v>1271673</v>
      </c>
      <c r="N23" s="19">
        <f t="shared" si="7"/>
        <v>233445</v>
      </c>
      <c r="O23" s="19">
        <f t="shared" si="7"/>
        <v>16292</v>
      </c>
      <c r="P23" s="19">
        <f t="shared" si="7"/>
        <v>34881</v>
      </c>
      <c r="Q23" s="19">
        <f t="shared" si="7"/>
        <v>39521</v>
      </c>
      <c r="R23" s="19">
        <f t="shared" si="7"/>
        <v>7414.9</v>
      </c>
      <c r="S23" s="19">
        <f t="shared" si="7"/>
        <v>632693.16999999993</v>
      </c>
      <c r="T23" s="19">
        <f t="shared" si="7"/>
        <v>17409</v>
      </c>
      <c r="U23" s="19">
        <f t="shared" si="7"/>
        <v>39834</v>
      </c>
      <c r="V23" s="19">
        <f t="shared" si="7"/>
        <v>7291</v>
      </c>
      <c r="W23" s="19">
        <f t="shared" si="7"/>
        <v>331169</v>
      </c>
      <c r="X23" s="19">
        <f t="shared" si="7"/>
        <v>99718</v>
      </c>
      <c r="Y23" s="19">
        <f t="shared" si="7"/>
        <v>198501</v>
      </c>
      <c r="Z23" s="19">
        <f t="shared" si="7"/>
        <v>41165</v>
      </c>
      <c r="AA23" s="19">
        <f t="shared" si="7"/>
        <v>95521</v>
      </c>
      <c r="AB23" s="19">
        <f t="shared" si="7"/>
        <v>176488</v>
      </c>
      <c r="AC23" s="19">
        <f t="shared" si="7"/>
        <v>2115627</v>
      </c>
      <c r="AD23" s="19">
        <f t="shared" si="7"/>
        <v>700450</v>
      </c>
      <c r="AE23" s="19">
        <f t="shared" si="7"/>
        <v>710565</v>
      </c>
      <c r="AF23" s="19">
        <f t="shared" si="7"/>
        <v>138920</v>
      </c>
      <c r="AG23" s="44">
        <f t="shared" si="6"/>
        <v>9724618.7599999998</v>
      </c>
    </row>
    <row r="24" spans="1:33" x14ac:dyDescent="0.25">
      <c r="A24" s="2" t="s">
        <v>209</v>
      </c>
      <c r="B24" s="9">
        <v>73506</v>
      </c>
      <c r="C24" s="9">
        <v>79974</v>
      </c>
      <c r="D24" s="9">
        <v>2169256</v>
      </c>
      <c r="E24" s="9">
        <v>1648604</v>
      </c>
      <c r="F24" s="9">
        <v>130182</v>
      </c>
      <c r="G24" s="9">
        <v>1023044</v>
      </c>
      <c r="H24" s="9">
        <v>759569</v>
      </c>
      <c r="I24" s="9">
        <v>638550.77</v>
      </c>
      <c r="J24" s="9">
        <v>55615</v>
      </c>
      <c r="K24" s="9">
        <v>435916.26</v>
      </c>
      <c r="L24" s="9">
        <v>1449720</v>
      </c>
      <c r="M24" s="9">
        <v>3610761</v>
      </c>
      <c r="N24" s="9">
        <v>1106283</v>
      </c>
      <c r="O24" s="9">
        <v>88488</v>
      </c>
      <c r="P24" s="9">
        <v>221565</v>
      </c>
      <c r="Q24" s="9">
        <v>369252</v>
      </c>
      <c r="R24" s="9">
        <v>41504.160000000003</v>
      </c>
      <c r="S24" s="9">
        <v>2840061.04</v>
      </c>
      <c r="T24" s="9">
        <v>32069</v>
      </c>
      <c r="U24" s="9">
        <v>113916</v>
      </c>
      <c r="V24" s="9">
        <v>55818</v>
      </c>
      <c r="W24" s="9">
        <v>1473847</v>
      </c>
      <c r="X24" s="9">
        <v>569428</v>
      </c>
      <c r="Y24" s="9">
        <v>707437</v>
      </c>
      <c r="Z24" s="9">
        <v>824667</v>
      </c>
      <c r="AA24" s="9">
        <v>171357</v>
      </c>
      <c r="AB24" s="9">
        <v>1511971</v>
      </c>
      <c r="AC24" s="9">
        <v>4163987</v>
      </c>
      <c r="AD24" s="9">
        <v>2312069</v>
      </c>
      <c r="AE24" s="9">
        <v>3084290</v>
      </c>
      <c r="AF24" s="9">
        <v>296216</v>
      </c>
      <c r="AG24" s="43">
        <f t="shared" si="6"/>
        <v>32058923.23</v>
      </c>
    </row>
    <row r="25" spans="1:33" x14ac:dyDescent="0.25">
      <c r="A25" s="2" t="s">
        <v>58</v>
      </c>
      <c r="B25" s="9">
        <v>49246</v>
      </c>
      <c r="C25" s="9">
        <v>96921</v>
      </c>
      <c r="D25" s="9">
        <v>68114</v>
      </c>
      <c r="E25" s="9">
        <v>428925</v>
      </c>
      <c r="F25" s="9">
        <v>207699</v>
      </c>
      <c r="G25" s="9">
        <v>289477</v>
      </c>
      <c r="H25" s="9">
        <v>274107</v>
      </c>
      <c r="I25" s="9">
        <v>80622.44</v>
      </c>
      <c r="J25" s="9">
        <v>20176</v>
      </c>
      <c r="K25" s="9">
        <v>136793.31</v>
      </c>
      <c r="L25" s="9">
        <v>499418</v>
      </c>
      <c r="M25" s="9">
        <v>846095</v>
      </c>
      <c r="N25" s="9">
        <v>335211</v>
      </c>
      <c r="O25" s="9">
        <v>51845</v>
      </c>
      <c r="P25" s="9">
        <v>93770</v>
      </c>
      <c r="Q25" s="9">
        <v>105397</v>
      </c>
      <c r="R25" s="9">
        <v>59213.21</v>
      </c>
      <c r="S25" s="9">
        <v>717029.68</v>
      </c>
      <c r="T25" s="9">
        <v>16311</v>
      </c>
      <c r="U25" s="9">
        <v>141870</v>
      </c>
      <c r="V25" s="9">
        <v>22591</v>
      </c>
      <c r="W25" s="9">
        <v>252932</v>
      </c>
      <c r="X25" s="9">
        <v>142619</v>
      </c>
      <c r="Y25" s="9">
        <v>349916</v>
      </c>
      <c r="Z25" s="9">
        <v>113761</v>
      </c>
      <c r="AA25" s="9">
        <v>618359</v>
      </c>
      <c r="AB25" s="9">
        <v>445836</v>
      </c>
      <c r="AC25" s="9">
        <v>1576736</v>
      </c>
      <c r="AD25" s="9">
        <v>879840</v>
      </c>
      <c r="AE25" s="9">
        <v>750181</v>
      </c>
      <c r="AF25" s="9">
        <v>104472</v>
      </c>
      <c r="AG25" s="43">
        <f t="shared" si="6"/>
        <v>9775483.6400000006</v>
      </c>
    </row>
    <row r="26" spans="1:33" s="20" customFormat="1" x14ac:dyDescent="0.25">
      <c r="A26" s="11" t="s">
        <v>210</v>
      </c>
      <c r="B26" s="19">
        <f>B24+B25</f>
        <v>122752</v>
      </c>
      <c r="C26" s="19">
        <f t="shared" ref="C26:AF26" si="8">C24+C25</f>
        <v>176895</v>
      </c>
      <c r="D26" s="19">
        <f t="shared" si="8"/>
        <v>2237370</v>
      </c>
      <c r="E26" s="19">
        <f t="shared" si="8"/>
        <v>2077529</v>
      </c>
      <c r="F26" s="19">
        <f t="shared" si="8"/>
        <v>337881</v>
      </c>
      <c r="G26" s="19">
        <f t="shared" si="8"/>
        <v>1312521</v>
      </c>
      <c r="H26" s="19">
        <f t="shared" si="8"/>
        <v>1033676</v>
      </c>
      <c r="I26" s="19">
        <f t="shared" si="8"/>
        <v>719173.21</v>
      </c>
      <c r="J26" s="19">
        <f t="shared" si="8"/>
        <v>75791</v>
      </c>
      <c r="K26" s="19">
        <f t="shared" si="8"/>
        <v>572709.57000000007</v>
      </c>
      <c r="L26" s="19">
        <f t="shared" si="8"/>
        <v>1949138</v>
      </c>
      <c r="M26" s="19">
        <f t="shared" si="8"/>
        <v>4456856</v>
      </c>
      <c r="N26" s="19">
        <f t="shared" si="8"/>
        <v>1441494</v>
      </c>
      <c r="O26" s="19">
        <f t="shared" si="8"/>
        <v>140333</v>
      </c>
      <c r="P26" s="19">
        <f t="shared" si="8"/>
        <v>315335</v>
      </c>
      <c r="Q26" s="19">
        <f t="shared" si="8"/>
        <v>474649</v>
      </c>
      <c r="R26" s="19">
        <f t="shared" si="8"/>
        <v>100717.37</v>
      </c>
      <c r="S26" s="19">
        <f t="shared" si="8"/>
        <v>3557090.72</v>
      </c>
      <c r="T26" s="19">
        <f t="shared" si="8"/>
        <v>48380</v>
      </c>
      <c r="U26" s="19">
        <f t="shared" si="8"/>
        <v>255786</v>
      </c>
      <c r="V26" s="19">
        <f t="shared" si="8"/>
        <v>78409</v>
      </c>
      <c r="W26" s="19">
        <f t="shared" si="8"/>
        <v>1726779</v>
      </c>
      <c r="X26" s="19">
        <f t="shared" si="8"/>
        <v>712047</v>
      </c>
      <c r="Y26" s="19">
        <f t="shared" si="8"/>
        <v>1057353</v>
      </c>
      <c r="Z26" s="19">
        <f t="shared" si="8"/>
        <v>938428</v>
      </c>
      <c r="AA26" s="19">
        <f t="shared" si="8"/>
        <v>789716</v>
      </c>
      <c r="AB26" s="19">
        <f t="shared" si="8"/>
        <v>1957807</v>
      </c>
      <c r="AC26" s="19">
        <f t="shared" si="8"/>
        <v>5740723</v>
      </c>
      <c r="AD26" s="19">
        <f t="shared" si="8"/>
        <v>3191909</v>
      </c>
      <c r="AE26" s="19">
        <f t="shared" si="8"/>
        <v>3834471</v>
      </c>
      <c r="AF26" s="19">
        <f t="shared" si="8"/>
        <v>400688</v>
      </c>
      <c r="AG26" s="44">
        <f t="shared" si="6"/>
        <v>41834406.870000005</v>
      </c>
    </row>
    <row r="27" spans="1:33" s="7" customFormat="1" x14ac:dyDescent="0.25">
      <c r="A27" s="3" t="s">
        <v>211</v>
      </c>
      <c r="B27" s="10">
        <f t="shared" ref="B27:AF27" si="9">B23-B26</f>
        <v>-112382</v>
      </c>
      <c r="C27" s="10">
        <f t="shared" si="9"/>
        <v>-158746</v>
      </c>
      <c r="D27" s="10">
        <f t="shared" si="9"/>
        <v>-794697</v>
      </c>
      <c r="E27" s="10">
        <f t="shared" si="9"/>
        <v>-1639047</v>
      </c>
      <c r="F27" s="10">
        <f t="shared" si="9"/>
        <v>-302465</v>
      </c>
      <c r="G27" s="10">
        <f t="shared" si="9"/>
        <v>-1208588</v>
      </c>
      <c r="H27" s="10">
        <f t="shared" si="9"/>
        <v>-941958</v>
      </c>
      <c r="I27" s="10">
        <f t="shared" si="9"/>
        <v>-483623.06999999995</v>
      </c>
      <c r="J27" s="10">
        <f t="shared" si="9"/>
        <v>-48593</v>
      </c>
      <c r="K27" s="10">
        <f t="shared" si="9"/>
        <v>-480515.02000000008</v>
      </c>
      <c r="L27" s="10">
        <f t="shared" si="9"/>
        <v>-1628781</v>
      </c>
      <c r="M27" s="10">
        <f t="shared" si="9"/>
        <v>-3185183</v>
      </c>
      <c r="N27" s="10">
        <f t="shared" si="9"/>
        <v>-1208049</v>
      </c>
      <c r="O27" s="10">
        <f t="shared" si="9"/>
        <v>-124041</v>
      </c>
      <c r="P27" s="10">
        <f t="shared" si="9"/>
        <v>-280454</v>
      </c>
      <c r="Q27" s="10">
        <f t="shared" si="9"/>
        <v>-435128</v>
      </c>
      <c r="R27" s="10">
        <f t="shared" si="9"/>
        <v>-93302.47</v>
      </c>
      <c r="S27" s="10">
        <f t="shared" si="9"/>
        <v>-2924397.5500000003</v>
      </c>
      <c r="T27" s="10">
        <f t="shared" si="9"/>
        <v>-30971</v>
      </c>
      <c r="U27" s="10">
        <f t="shared" si="9"/>
        <v>-215952</v>
      </c>
      <c r="V27" s="10">
        <f t="shared" si="9"/>
        <v>-71118</v>
      </c>
      <c r="W27" s="10">
        <f t="shared" si="9"/>
        <v>-1395610</v>
      </c>
      <c r="X27" s="10">
        <f t="shared" si="9"/>
        <v>-612329</v>
      </c>
      <c r="Y27" s="10">
        <f t="shared" si="9"/>
        <v>-858852</v>
      </c>
      <c r="Z27" s="10">
        <f t="shared" si="9"/>
        <v>-897263</v>
      </c>
      <c r="AA27" s="10">
        <f t="shared" si="9"/>
        <v>-694195</v>
      </c>
      <c r="AB27" s="10">
        <f t="shared" si="9"/>
        <v>-1781319</v>
      </c>
      <c r="AC27" s="10">
        <f t="shared" si="9"/>
        <v>-3625096</v>
      </c>
      <c r="AD27" s="10">
        <f t="shared" si="9"/>
        <v>-2491459</v>
      </c>
      <c r="AE27" s="10">
        <f t="shared" si="9"/>
        <v>-3123906</v>
      </c>
      <c r="AF27" s="10">
        <f t="shared" si="9"/>
        <v>-261768</v>
      </c>
      <c r="AG27" s="42">
        <f t="shared" si="6"/>
        <v>-32109788.109999999</v>
      </c>
    </row>
    <row r="28" spans="1:33" ht="30" x14ac:dyDescent="0.25">
      <c r="A28" s="2" t="s">
        <v>212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v>19720.2</v>
      </c>
      <c r="T28" s="9"/>
      <c r="U28" s="9"/>
      <c r="V28" s="9"/>
      <c r="W28" s="9"/>
      <c r="X28" s="9"/>
      <c r="Y28" s="9"/>
      <c r="Z28" s="9"/>
      <c r="AA28" s="9"/>
      <c r="AB28" s="9"/>
      <c r="AC28" s="9">
        <v>51268</v>
      </c>
      <c r="AD28" s="9">
        <v>37142</v>
      </c>
      <c r="AE28" s="9"/>
      <c r="AF28" s="9"/>
      <c r="AG28" s="43">
        <f t="shared" si="6"/>
        <v>108130.2</v>
      </c>
    </row>
    <row r="29" spans="1:33" ht="30" x14ac:dyDescent="0.25">
      <c r="A29" s="2" t="s">
        <v>213</v>
      </c>
      <c r="B29" s="9">
        <v>120080</v>
      </c>
      <c r="C29" s="9">
        <v>151171</v>
      </c>
      <c r="D29" s="9"/>
      <c r="E29" s="9"/>
      <c r="F29" s="9"/>
      <c r="G29" s="9"/>
      <c r="H29" s="9">
        <v>93084</v>
      </c>
      <c r="I29" s="9"/>
      <c r="J29" s="9">
        <v>48284</v>
      </c>
      <c r="K29" s="9"/>
      <c r="L29" s="9"/>
      <c r="M29" s="9"/>
      <c r="N29" s="9"/>
      <c r="O29" s="9">
        <v>28401</v>
      </c>
      <c r="P29" s="9">
        <v>103422</v>
      </c>
      <c r="Q29" s="9">
        <v>26361</v>
      </c>
      <c r="R29" s="9">
        <v>142434.07999999999</v>
      </c>
      <c r="S29" s="9">
        <v>870199.19</v>
      </c>
      <c r="T29" s="9">
        <v>28369</v>
      </c>
      <c r="U29" s="9">
        <v>105287</v>
      </c>
      <c r="V29" s="9">
        <v>32451</v>
      </c>
      <c r="W29" s="9"/>
      <c r="X29" s="9"/>
      <c r="Y29" s="9"/>
      <c r="Z29" s="9"/>
      <c r="AA29" s="9">
        <v>123339</v>
      </c>
      <c r="AB29" s="9"/>
      <c r="AC29" s="9"/>
      <c r="AD29" s="9">
        <v>780345</v>
      </c>
      <c r="AE29" s="9">
        <v>363352</v>
      </c>
      <c r="AF29" s="9"/>
      <c r="AG29" s="43">
        <f t="shared" si="6"/>
        <v>3016579.27</v>
      </c>
    </row>
    <row r="30" spans="1:33" s="7" customFormat="1" x14ac:dyDescent="0.25">
      <c r="A30" s="3" t="s">
        <v>40</v>
      </c>
      <c r="B30" s="10">
        <v>216552</v>
      </c>
      <c r="C30" s="10">
        <v>276770</v>
      </c>
      <c r="D30" s="10">
        <v>588852</v>
      </c>
      <c r="E30" s="10">
        <v>956427</v>
      </c>
      <c r="F30" s="10">
        <v>164824</v>
      </c>
      <c r="G30" s="10">
        <v>221467</v>
      </c>
      <c r="H30" s="10">
        <v>334896</v>
      </c>
      <c r="I30" s="10">
        <v>1012520.83</v>
      </c>
      <c r="J30" s="10">
        <v>63902</v>
      </c>
      <c r="K30" s="10">
        <v>147407.37</v>
      </c>
      <c r="L30" s="10">
        <v>457935</v>
      </c>
      <c r="M30" s="10">
        <v>1053860</v>
      </c>
      <c r="N30" s="10">
        <v>383472</v>
      </c>
      <c r="O30" s="10">
        <v>68000</v>
      </c>
      <c r="P30" s="10">
        <v>183464</v>
      </c>
      <c r="Q30" s="10">
        <v>98916</v>
      </c>
      <c r="R30" s="10">
        <v>181485.53</v>
      </c>
      <c r="S30" s="10">
        <v>1359558.5</v>
      </c>
      <c r="T30" s="10">
        <v>49579</v>
      </c>
      <c r="U30" s="10">
        <v>208913</v>
      </c>
      <c r="V30" s="10">
        <v>54077</v>
      </c>
      <c r="W30" s="10">
        <v>275941</v>
      </c>
      <c r="X30" s="10">
        <v>166324</v>
      </c>
      <c r="Y30" s="10">
        <v>303913</v>
      </c>
      <c r="Z30" s="10">
        <v>231461</v>
      </c>
      <c r="AA30" s="10">
        <v>708273</v>
      </c>
      <c r="AB30" s="10">
        <v>513873</v>
      </c>
      <c r="AC30" s="10">
        <v>3898753</v>
      </c>
      <c r="AD30" s="10">
        <v>1233738</v>
      </c>
      <c r="AE30" s="10">
        <v>893858</v>
      </c>
      <c r="AF30" s="10">
        <v>123935</v>
      </c>
      <c r="AG30" s="42">
        <f t="shared" si="6"/>
        <v>16432947.23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7" style="6" bestFit="1" customWidth="1"/>
    <col min="2" max="65" width="16" style="6" customWidth="1"/>
    <col min="66" max="16384" width="9.140625" style="6"/>
  </cols>
  <sheetData>
    <row r="1" spans="1:65" ht="18.75" x14ac:dyDescent="0.3">
      <c r="A1" s="4" t="s">
        <v>193</v>
      </c>
    </row>
    <row r="2" spans="1:65" x14ac:dyDescent="0.25">
      <c r="A2" s="5" t="s">
        <v>98</v>
      </c>
    </row>
    <row r="3" spans="1:65" x14ac:dyDescent="0.25">
      <c r="A3" s="18" t="s">
        <v>182</v>
      </c>
    </row>
    <row r="4" spans="1:65" x14ac:dyDescent="0.25">
      <c r="A4" s="1" t="s">
        <v>0</v>
      </c>
      <c r="B4" s="127" t="s">
        <v>1</v>
      </c>
      <c r="C4" s="128"/>
      <c r="D4" s="127" t="s">
        <v>232</v>
      </c>
      <c r="E4" s="128"/>
      <c r="F4" s="127" t="s">
        <v>2</v>
      </c>
      <c r="G4" s="128"/>
      <c r="H4" s="127" t="s">
        <v>3</v>
      </c>
      <c r="I4" s="128"/>
      <c r="J4" s="127" t="s">
        <v>241</v>
      </c>
      <c r="K4" s="128"/>
      <c r="L4" s="127" t="s">
        <v>233</v>
      </c>
      <c r="M4" s="128"/>
      <c r="N4" s="127" t="s">
        <v>244</v>
      </c>
      <c r="O4" s="128"/>
      <c r="P4" s="127" t="s">
        <v>5</v>
      </c>
      <c r="Q4" s="128"/>
      <c r="R4" s="127" t="s">
        <v>4</v>
      </c>
      <c r="S4" s="128"/>
      <c r="T4" s="127" t="s">
        <v>6</v>
      </c>
      <c r="U4" s="128"/>
      <c r="V4" s="127" t="s">
        <v>7</v>
      </c>
      <c r="W4" s="128"/>
      <c r="X4" s="127" t="s">
        <v>8</v>
      </c>
      <c r="Y4" s="128"/>
      <c r="Z4" s="127" t="s">
        <v>9</v>
      </c>
      <c r="AA4" s="128"/>
      <c r="AB4" s="127" t="s">
        <v>240</v>
      </c>
      <c r="AC4" s="128"/>
      <c r="AD4" s="127" t="s">
        <v>10</v>
      </c>
      <c r="AE4" s="128"/>
      <c r="AF4" s="127" t="s">
        <v>11</v>
      </c>
      <c r="AG4" s="128"/>
      <c r="AH4" s="127" t="s">
        <v>234</v>
      </c>
      <c r="AI4" s="128"/>
      <c r="AJ4" s="127" t="s">
        <v>12</v>
      </c>
      <c r="AK4" s="128"/>
      <c r="AL4" s="127" t="s">
        <v>235</v>
      </c>
      <c r="AM4" s="128"/>
      <c r="AN4" s="127" t="s">
        <v>293</v>
      </c>
      <c r="AO4" s="128"/>
      <c r="AP4" s="127" t="s">
        <v>236</v>
      </c>
      <c r="AQ4" s="128"/>
      <c r="AR4" s="127" t="s">
        <v>239</v>
      </c>
      <c r="AS4" s="128"/>
      <c r="AT4" s="127" t="s">
        <v>13</v>
      </c>
      <c r="AU4" s="128"/>
      <c r="AV4" s="127" t="s">
        <v>14</v>
      </c>
      <c r="AW4" s="128"/>
      <c r="AX4" s="127" t="s">
        <v>15</v>
      </c>
      <c r="AY4" s="128"/>
      <c r="AZ4" s="127" t="s">
        <v>16</v>
      </c>
      <c r="BA4" s="128"/>
      <c r="BB4" s="127" t="s">
        <v>17</v>
      </c>
      <c r="BC4" s="128"/>
      <c r="BD4" s="127" t="s">
        <v>237</v>
      </c>
      <c r="BE4" s="128"/>
      <c r="BF4" s="127" t="s">
        <v>238</v>
      </c>
      <c r="BG4" s="128"/>
      <c r="BH4" s="127" t="s">
        <v>18</v>
      </c>
      <c r="BI4" s="128"/>
      <c r="BJ4" s="127" t="s">
        <v>19</v>
      </c>
      <c r="BK4" s="128"/>
      <c r="BL4" s="129" t="s">
        <v>20</v>
      </c>
      <c r="BM4" s="130"/>
    </row>
    <row r="5" spans="1:65" ht="30" x14ac:dyDescent="0.25">
      <c r="A5" s="1"/>
      <c r="B5" s="32" t="s">
        <v>299</v>
      </c>
      <c r="C5" s="33" t="s">
        <v>298</v>
      </c>
      <c r="D5" s="32" t="s">
        <v>299</v>
      </c>
      <c r="E5" s="33" t="s">
        <v>298</v>
      </c>
      <c r="F5" s="32" t="s">
        <v>299</v>
      </c>
      <c r="G5" s="33" t="s">
        <v>298</v>
      </c>
      <c r="H5" s="32" t="s">
        <v>299</v>
      </c>
      <c r="I5" s="33" t="s">
        <v>298</v>
      </c>
      <c r="J5" s="32" t="s">
        <v>299</v>
      </c>
      <c r="K5" s="33" t="s">
        <v>298</v>
      </c>
      <c r="L5" s="32" t="s">
        <v>299</v>
      </c>
      <c r="M5" s="33" t="s">
        <v>298</v>
      </c>
      <c r="N5" s="32" t="s">
        <v>299</v>
      </c>
      <c r="O5" s="33" t="s">
        <v>298</v>
      </c>
      <c r="P5" s="32" t="s">
        <v>299</v>
      </c>
      <c r="Q5" s="33" t="s">
        <v>298</v>
      </c>
      <c r="R5" s="32" t="s">
        <v>299</v>
      </c>
      <c r="S5" s="33" t="s">
        <v>298</v>
      </c>
      <c r="T5" s="32" t="s">
        <v>299</v>
      </c>
      <c r="U5" s="33" t="s">
        <v>298</v>
      </c>
      <c r="V5" s="32" t="s">
        <v>299</v>
      </c>
      <c r="W5" s="33" t="s">
        <v>298</v>
      </c>
      <c r="X5" s="32" t="s">
        <v>299</v>
      </c>
      <c r="Y5" s="33" t="s">
        <v>298</v>
      </c>
      <c r="Z5" s="32" t="s">
        <v>299</v>
      </c>
      <c r="AA5" s="33" t="s">
        <v>298</v>
      </c>
      <c r="AB5" s="32" t="s">
        <v>299</v>
      </c>
      <c r="AC5" s="33" t="s">
        <v>298</v>
      </c>
      <c r="AD5" s="32" t="s">
        <v>299</v>
      </c>
      <c r="AE5" s="33" t="s">
        <v>298</v>
      </c>
      <c r="AF5" s="32" t="s">
        <v>299</v>
      </c>
      <c r="AG5" s="33" t="s">
        <v>298</v>
      </c>
      <c r="AH5" s="32" t="s">
        <v>299</v>
      </c>
      <c r="AI5" s="33" t="s">
        <v>298</v>
      </c>
      <c r="AJ5" s="32" t="s">
        <v>299</v>
      </c>
      <c r="AK5" s="33" t="s">
        <v>298</v>
      </c>
      <c r="AL5" s="32" t="s">
        <v>299</v>
      </c>
      <c r="AM5" s="33" t="s">
        <v>298</v>
      </c>
      <c r="AN5" s="32" t="s">
        <v>299</v>
      </c>
      <c r="AO5" s="33" t="s">
        <v>298</v>
      </c>
      <c r="AP5" s="32" t="s">
        <v>299</v>
      </c>
      <c r="AQ5" s="33" t="s">
        <v>298</v>
      </c>
      <c r="AR5" s="32" t="s">
        <v>299</v>
      </c>
      <c r="AS5" s="33" t="s">
        <v>298</v>
      </c>
      <c r="AT5" s="32" t="s">
        <v>299</v>
      </c>
      <c r="AU5" s="33" t="s">
        <v>298</v>
      </c>
      <c r="AV5" s="32" t="s">
        <v>299</v>
      </c>
      <c r="AW5" s="33" t="s">
        <v>298</v>
      </c>
      <c r="AX5" s="32" t="s">
        <v>299</v>
      </c>
      <c r="AY5" s="33" t="s">
        <v>298</v>
      </c>
      <c r="AZ5" s="32" t="s">
        <v>299</v>
      </c>
      <c r="BA5" s="33" t="s">
        <v>298</v>
      </c>
      <c r="BB5" s="32" t="s">
        <v>299</v>
      </c>
      <c r="BC5" s="33" t="s">
        <v>298</v>
      </c>
      <c r="BD5" s="32" t="s">
        <v>299</v>
      </c>
      <c r="BE5" s="33" t="s">
        <v>298</v>
      </c>
      <c r="BF5" s="32" t="s">
        <v>299</v>
      </c>
      <c r="BG5" s="33" t="s">
        <v>298</v>
      </c>
      <c r="BH5" s="32" t="s">
        <v>299</v>
      </c>
      <c r="BI5" s="33" t="s">
        <v>298</v>
      </c>
      <c r="BJ5" s="32" t="s">
        <v>299</v>
      </c>
      <c r="BK5" s="33" t="s">
        <v>298</v>
      </c>
      <c r="BL5" s="32" t="s">
        <v>299</v>
      </c>
      <c r="BM5" s="33" t="s">
        <v>298</v>
      </c>
    </row>
    <row r="6" spans="1:65" x14ac:dyDescent="0.25">
      <c r="A6" s="9" t="s">
        <v>267</v>
      </c>
      <c r="B6" s="9"/>
      <c r="C6" s="9"/>
      <c r="D6" s="9"/>
      <c r="E6" s="9"/>
      <c r="F6" s="9"/>
      <c r="G6" s="9"/>
      <c r="H6" s="9">
        <v>44831</v>
      </c>
      <c r="I6" s="9">
        <v>161493</v>
      </c>
      <c r="J6" s="9"/>
      <c r="K6" s="9"/>
      <c r="L6" s="9">
        <v>13867</v>
      </c>
      <c r="M6" s="9">
        <v>49429</v>
      </c>
      <c r="N6" s="9">
        <v>11034</v>
      </c>
      <c r="O6" s="9">
        <v>33280</v>
      </c>
      <c r="P6" s="9"/>
      <c r="Q6" s="9"/>
      <c r="R6" s="9">
        <v>841.93</v>
      </c>
      <c r="S6" s="9">
        <v>1942.46</v>
      </c>
      <c r="T6" s="9">
        <v>12213.75</v>
      </c>
      <c r="U6" s="9">
        <v>38126.699999999997</v>
      </c>
      <c r="V6" s="9">
        <v>36614</v>
      </c>
      <c r="W6" s="9">
        <v>136304</v>
      </c>
      <c r="X6" s="9">
        <v>67774</v>
      </c>
      <c r="Y6" s="9">
        <v>241571</v>
      </c>
      <c r="Z6" s="9">
        <v>18110</v>
      </c>
      <c r="AA6" s="9">
        <v>76554</v>
      </c>
      <c r="AB6" s="9">
        <v>1585</v>
      </c>
      <c r="AC6" s="9">
        <v>5250</v>
      </c>
      <c r="AD6" s="9">
        <v>928</v>
      </c>
      <c r="AE6" s="9">
        <v>6426</v>
      </c>
      <c r="AF6" s="9">
        <v>5492</v>
      </c>
      <c r="AG6" s="9">
        <v>19466</v>
      </c>
      <c r="AH6" s="9"/>
      <c r="AI6" s="9"/>
      <c r="AJ6" s="9">
        <v>19387.150000000001</v>
      </c>
      <c r="AK6" s="9">
        <v>92758.54</v>
      </c>
      <c r="AL6" s="9">
        <v>-46</v>
      </c>
      <c r="AM6" s="9">
        <v>-40</v>
      </c>
      <c r="AN6" s="9"/>
      <c r="AO6" s="9"/>
      <c r="AP6" s="9">
        <v>464</v>
      </c>
      <c r="AQ6" s="9">
        <v>1848</v>
      </c>
      <c r="AR6" s="9">
        <v>19305</v>
      </c>
      <c r="AS6" s="9">
        <v>89818</v>
      </c>
      <c r="AT6" s="9">
        <v>5205</v>
      </c>
      <c r="AU6" s="9">
        <v>23225</v>
      </c>
      <c r="AV6" s="9">
        <v>40757</v>
      </c>
      <c r="AW6" s="9">
        <v>120845</v>
      </c>
      <c r="AX6" s="9">
        <v>2117</v>
      </c>
      <c r="AY6" s="9">
        <v>5710</v>
      </c>
      <c r="AZ6" s="9"/>
      <c r="BA6" s="9"/>
      <c r="BB6" s="9">
        <v>40573</v>
      </c>
      <c r="BC6" s="9">
        <v>147223</v>
      </c>
      <c r="BD6" s="9">
        <v>144489</v>
      </c>
      <c r="BE6" s="9">
        <v>418930</v>
      </c>
      <c r="BF6" s="9">
        <v>33341</v>
      </c>
      <c r="BG6" s="9">
        <v>137252</v>
      </c>
      <c r="BH6" s="9">
        <v>32533</v>
      </c>
      <c r="BI6" s="9">
        <v>147090</v>
      </c>
      <c r="BJ6" s="9">
        <v>4476</v>
      </c>
      <c r="BK6" s="9">
        <v>17896</v>
      </c>
      <c r="BL6" s="46">
        <f>SUM(B6+D6+F6+H6+J6+L6+N6+P6+R6+T6+V6+X6+Z6+AB6+AD6+AF6+AH6+AJ6+AL6+AN6+AP6+AR6+AT6+AV6+AX6+AZ6+BB6+BD6+BF6+BH6+BJ6)</f>
        <v>555891.82999999996</v>
      </c>
      <c r="BM6" s="46">
        <f>SUM(C6+E6+G6+I6+K6+M6+O6+Q6+S6+U6+W6+Y6+AA6+AC6+AE6+AG6+AI6+AK6+AM6+AO6+AQ6+AS6+AU6+AW6+AY6+BA6+BC6+BE6+BG6+BI6+BK6)</f>
        <v>1972397.7</v>
      </c>
    </row>
    <row r="7" spans="1:65" x14ac:dyDescent="0.25">
      <c r="A7" s="9" t="s">
        <v>268</v>
      </c>
      <c r="B7" s="9"/>
      <c r="C7" s="9"/>
      <c r="D7" s="9"/>
      <c r="E7" s="9"/>
      <c r="F7" s="9"/>
      <c r="G7" s="9"/>
      <c r="H7" s="9">
        <v>4202</v>
      </c>
      <c r="I7" s="9">
        <v>10893</v>
      </c>
      <c r="J7" s="9"/>
      <c r="K7" s="9"/>
      <c r="L7" s="9">
        <v>1060</v>
      </c>
      <c r="M7" s="9">
        <v>3222</v>
      </c>
      <c r="N7" s="9">
        <v>4853</v>
      </c>
      <c r="O7" s="9">
        <v>23785</v>
      </c>
      <c r="P7" s="9"/>
      <c r="Q7" s="9"/>
      <c r="R7" s="9">
        <v>420.64</v>
      </c>
      <c r="S7" s="9">
        <v>1176.7</v>
      </c>
      <c r="T7" s="9">
        <v>1246.3599999999999</v>
      </c>
      <c r="U7" s="9">
        <v>6709.1</v>
      </c>
      <c r="V7" s="9">
        <v>2361</v>
      </c>
      <c r="W7" s="9">
        <v>14632</v>
      </c>
      <c r="X7" s="9">
        <v>3874</v>
      </c>
      <c r="Y7" s="9">
        <v>15965</v>
      </c>
      <c r="Z7" s="9">
        <v>5864</v>
      </c>
      <c r="AA7" s="9">
        <v>15781</v>
      </c>
      <c r="AB7" s="9">
        <v>207</v>
      </c>
      <c r="AC7" s="9">
        <v>1010</v>
      </c>
      <c r="AD7" s="9">
        <v>359</v>
      </c>
      <c r="AE7" s="9">
        <v>1285</v>
      </c>
      <c r="AF7" s="9">
        <v>843</v>
      </c>
      <c r="AG7" s="9">
        <v>4418</v>
      </c>
      <c r="AH7" s="9"/>
      <c r="AI7" s="9"/>
      <c r="AJ7" s="9">
        <v>7340.43</v>
      </c>
      <c r="AK7" s="9">
        <v>18181.73</v>
      </c>
      <c r="AL7" s="9">
        <v>42</v>
      </c>
      <c r="AM7" s="9">
        <v>133</v>
      </c>
      <c r="AN7" s="9"/>
      <c r="AO7" s="9"/>
      <c r="AP7" s="9">
        <v>181</v>
      </c>
      <c r="AQ7" s="9">
        <v>611</v>
      </c>
      <c r="AR7" s="9">
        <v>2750</v>
      </c>
      <c r="AS7" s="9">
        <v>10453</v>
      </c>
      <c r="AT7" s="9">
        <v>1991</v>
      </c>
      <c r="AU7" s="9">
        <v>9533</v>
      </c>
      <c r="AV7" s="9">
        <v>369</v>
      </c>
      <c r="AW7" s="9">
        <v>1325</v>
      </c>
      <c r="AX7" s="9">
        <v>520</v>
      </c>
      <c r="AY7" s="9">
        <v>843</v>
      </c>
      <c r="AZ7" s="9"/>
      <c r="BA7" s="9"/>
      <c r="BB7" s="9">
        <v>2072</v>
      </c>
      <c r="BC7" s="9">
        <v>11233</v>
      </c>
      <c r="BD7" s="9">
        <v>26684</v>
      </c>
      <c r="BE7" s="9">
        <v>76443</v>
      </c>
      <c r="BF7" s="9">
        <v>1086</v>
      </c>
      <c r="BG7" s="9">
        <v>14360</v>
      </c>
      <c r="BH7" s="9">
        <v>10791</v>
      </c>
      <c r="BI7" s="9">
        <v>13434</v>
      </c>
      <c r="BJ7" s="9">
        <v>380</v>
      </c>
      <c r="BK7" s="9">
        <v>989</v>
      </c>
      <c r="BL7" s="46">
        <f t="shared" ref="BL7:BL12" si="0">SUM(B7+D7+F7+H7+J7+L7+N7+P7+R7+T7+V7+X7+Z7+AB7+AD7+AF7+AH7+AJ7+AL7+AN7+AP7+AR7+AT7+AV7+AX7+AZ7+BB7+BD7+BF7+BH7+BJ7)</f>
        <v>79496.429999999993</v>
      </c>
      <c r="BM7" s="46">
        <f t="shared" ref="BM7:BM12" si="1">SUM(C7+E7+G7+I7+K7+M7+O7+Q7+S7+U7+W7+Y7+AA7+AC7+AE7+AG7+AI7+AK7+AM7+AO7+AQ7+AS7+AU7+AW7+AY7+BA7+BC7+BE7+BG7+BI7+BK7)</f>
        <v>256415.52999999997</v>
      </c>
    </row>
    <row r="8" spans="1:65" x14ac:dyDescent="0.25">
      <c r="A8" s="9" t="s">
        <v>269</v>
      </c>
      <c r="B8" s="9"/>
      <c r="C8" s="9"/>
      <c r="D8" s="9"/>
      <c r="E8" s="9"/>
      <c r="F8" s="9"/>
      <c r="G8" s="9"/>
      <c r="H8" s="9">
        <v>-41641</v>
      </c>
      <c r="I8" s="9">
        <v>-149731</v>
      </c>
      <c r="J8" s="9"/>
      <c r="K8" s="9"/>
      <c r="L8" s="9">
        <v>9217</v>
      </c>
      <c r="M8" s="9">
        <v>34711</v>
      </c>
      <c r="N8" s="9">
        <v>12923</v>
      </c>
      <c r="O8" s="9">
        <v>47535</v>
      </c>
      <c r="P8" s="9"/>
      <c r="Q8" s="9"/>
      <c r="R8" s="9">
        <v>979.01</v>
      </c>
      <c r="S8" s="9">
        <v>2315.92</v>
      </c>
      <c r="T8" s="9">
        <v>10715.34</v>
      </c>
      <c r="U8" s="9">
        <v>33570.83</v>
      </c>
      <c r="V8" s="9">
        <v>-31869</v>
      </c>
      <c r="W8" s="9">
        <v>-124792</v>
      </c>
      <c r="X8" s="9">
        <v>56826</v>
      </c>
      <c r="Y8" s="9">
        <v>207280</v>
      </c>
      <c r="Z8" s="9">
        <v>19346</v>
      </c>
      <c r="AA8" s="9">
        <v>75869</v>
      </c>
      <c r="AB8" s="9">
        <v>1234</v>
      </c>
      <c r="AC8" s="9">
        <v>4457</v>
      </c>
      <c r="AD8" s="9">
        <v>706</v>
      </c>
      <c r="AE8" s="9">
        <v>5626</v>
      </c>
      <c r="AF8" s="9">
        <v>-4198</v>
      </c>
      <c r="AG8" s="9">
        <v>-17120</v>
      </c>
      <c r="AH8" s="9"/>
      <c r="AI8" s="9"/>
      <c r="AJ8" s="9">
        <v>17424.79</v>
      </c>
      <c r="AK8" s="9">
        <v>44336.18</v>
      </c>
      <c r="AL8" s="9">
        <v>-69</v>
      </c>
      <c r="AM8" s="9">
        <v>-221</v>
      </c>
      <c r="AN8" s="9"/>
      <c r="AO8" s="9"/>
      <c r="AP8" s="9">
        <v>558</v>
      </c>
      <c r="AQ8" s="9">
        <v>2109</v>
      </c>
      <c r="AR8" s="9">
        <v>13840</v>
      </c>
      <c r="AS8" s="9">
        <v>65885</v>
      </c>
      <c r="AT8" s="9">
        <v>5406</v>
      </c>
      <c r="AU8" s="9">
        <v>26746</v>
      </c>
      <c r="AV8" s="9">
        <v>29303</v>
      </c>
      <c r="AW8" s="9">
        <v>88836</v>
      </c>
      <c r="AX8" s="9">
        <v>1476</v>
      </c>
      <c r="AY8" s="9">
        <v>3797</v>
      </c>
      <c r="AZ8" s="9"/>
      <c r="BA8" s="9"/>
      <c r="BB8" s="9">
        <v>31461</v>
      </c>
      <c r="BC8" s="9">
        <v>119883</v>
      </c>
      <c r="BD8" s="9">
        <v>89513</v>
      </c>
      <c r="BE8" s="9">
        <v>273391</v>
      </c>
      <c r="BF8" s="9">
        <v>25617</v>
      </c>
      <c r="BG8" s="9">
        <v>90434</v>
      </c>
      <c r="BH8" s="9">
        <v>19084</v>
      </c>
      <c r="BI8" s="9">
        <v>89155</v>
      </c>
      <c r="BJ8" s="9">
        <v>3707</v>
      </c>
      <c r="BK8" s="9">
        <v>18782</v>
      </c>
      <c r="BL8" s="46">
        <f t="shared" si="0"/>
        <v>271559.14</v>
      </c>
      <c r="BM8" s="46">
        <f t="shared" si="1"/>
        <v>942854.92999999993</v>
      </c>
    </row>
    <row r="9" spans="1:65" s="7" customFormat="1" x14ac:dyDescent="0.25">
      <c r="A9" s="10" t="s">
        <v>270</v>
      </c>
      <c r="B9" s="10"/>
      <c r="C9" s="10"/>
      <c r="D9" s="10"/>
      <c r="E9" s="10"/>
      <c r="F9" s="10"/>
      <c r="G9" s="10"/>
      <c r="H9" s="10">
        <v>7392</v>
      </c>
      <c r="I9" s="10">
        <v>22655</v>
      </c>
      <c r="J9" s="10"/>
      <c r="K9" s="10"/>
      <c r="L9" s="10">
        <v>5710</v>
      </c>
      <c r="M9" s="10">
        <v>17940</v>
      </c>
      <c r="N9" s="10">
        <v>2964</v>
      </c>
      <c r="O9" s="10">
        <v>9530</v>
      </c>
      <c r="P9" s="10"/>
      <c r="Q9" s="10"/>
      <c r="R9" s="10">
        <v>283.56</v>
      </c>
      <c r="S9" s="10">
        <v>803.24</v>
      </c>
      <c r="T9" s="10">
        <v>2744.77</v>
      </c>
      <c r="U9" s="10">
        <v>11264.97</v>
      </c>
      <c r="V9" s="10">
        <v>7106</v>
      </c>
      <c r="W9" s="10">
        <v>26143</v>
      </c>
      <c r="X9" s="10">
        <v>14822</v>
      </c>
      <c r="Y9" s="10">
        <v>50256</v>
      </c>
      <c r="Z9" s="10">
        <v>4628</v>
      </c>
      <c r="AA9" s="10">
        <v>16466</v>
      </c>
      <c r="AB9" s="10">
        <v>559</v>
      </c>
      <c r="AC9" s="10">
        <v>1803</v>
      </c>
      <c r="AD9" s="10">
        <v>581</v>
      </c>
      <c r="AE9" s="10">
        <v>2085</v>
      </c>
      <c r="AF9" s="10">
        <v>2137</v>
      </c>
      <c r="AG9" s="10">
        <v>6764</v>
      </c>
      <c r="AH9" s="10"/>
      <c r="AI9" s="10"/>
      <c r="AJ9" s="10">
        <v>9302.7900000000009</v>
      </c>
      <c r="AK9" s="10">
        <v>66604.09</v>
      </c>
      <c r="AL9" s="10">
        <v>-74</v>
      </c>
      <c r="AM9" s="10">
        <v>-129</v>
      </c>
      <c r="AN9" s="10"/>
      <c r="AO9" s="10"/>
      <c r="AP9" s="10">
        <v>86</v>
      </c>
      <c r="AQ9" s="10">
        <v>350</v>
      </c>
      <c r="AR9" s="10">
        <v>8214</v>
      </c>
      <c r="AS9" s="10">
        <v>34386</v>
      </c>
      <c r="AT9" s="10">
        <v>1790</v>
      </c>
      <c r="AU9" s="10">
        <v>6012</v>
      </c>
      <c r="AV9" s="10">
        <v>11823</v>
      </c>
      <c r="AW9" s="10">
        <v>33334</v>
      </c>
      <c r="AX9" s="10">
        <v>1161</v>
      </c>
      <c r="AY9" s="10">
        <v>2756</v>
      </c>
      <c r="AZ9" s="10"/>
      <c r="BA9" s="10"/>
      <c r="BB9" s="10">
        <v>11183</v>
      </c>
      <c r="BC9" s="10">
        <v>38574</v>
      </c>
      <c r="BD9" s="10">
        <v>81660</v>
      </c>
      <c r="BE9" s="10">
        <v>221981</v>
      </c>
      <c r="BF9" s="10">
        <v>8810</v>
      </c>
      <c r="BG9" s="10">
        <v>61178</v>
      </c>
      <c r="BH9" s="10">
        <v>24240</v>
      </c>
      <c r="BI9" s="10">
        <v>71369</v>
      </c>
      <c r="BJ9" s="10">
        <v>1150</v>
      </c>
      <c r="BK9" s="10">
        <v>103</v>
      </c>
      <c r="BL9" s="42">
        <f t="shared" si="0"/>
        <v>208273.12</v>
      </c>
      <c r="BM9" s="42">
        <f t="shared" si="1"/>
        <v>702228.3</v>
      </c>
    </row>
    <row r="10" spans="1:65" x14ac:dyDescent="0.25">
      <c r="A10" s="9" t="s">
        <v>271</v>
      </c>
      <c r="B10" s="9"/>
      <c r="C10" s="9"/>
      <c r="D10" s="9"/>
      <c r="E10" s="9"/>
      <c r="F10" s="9"/>
      <c r="G10" s="9"/>
      <c r="H10" s="9">
        <v>34173</v>
      </c>
      <c r="I10" s="9">
        <v>31340</v>
      </c>
      <c r="J10" s="9"/>
      <c r="K10" s="9"/>
      <c r="L10" s="9">
        <v>44113</v>
      </c>
      <c r="M10" s="9">
        <v>40084</v>
      </c>
      <c r="N10" s="9">
        <v>7921</v>
      </c>
      <c r="O10" s="9">
        <v>4740</v>
      </c>
      <c r="P10" s="9"/>
      <c r="Q10" s="9"/>
      <c r="R10" s="9">
        <v>652.62</v>
      </c>
      <c r="S10" s="9">
        <v>528.26</v>
      </c>
      <c r="T10" s="9">
        <v>16738.98</v>
      </c>
      <c r="U10" s="9">
        <v>15455.8</v>
      </c>
      <c r="V10" s="9">
        <v>45973</v>
      </c>
      <c r="W10" s="9">
        <v>40539</v>
      </c>
      <c r="X10" s="9">
        <v>48559</v>
      </c>
      <c r="Y10" s="9">
        <v>45272</v>
      </c>
      <c r="Z10" s="9"/>
      <c r="AA10" s="9">
        <v>11088</v>
      </c>
      <c r="AB10" s="9">
        <v>4158</v>
      </c>
      <c r="AC10" s="9">
        <v>3816</v>
      </c>
      <c r="AD10" s="9">
        <v>4892</v>
      </c>
      <c r="AE10" s="9">
        <v>4768</v>
      </c>
      <c r="AF10" s="9">
        <v>8243</v>
      </c>
      <c r="AG10" s="9">
        <v>6193</v>
      </c>
      <c r="AH10" s="9"/>
      <c r="AI10" s="9"/>
      <c r="AJ10" s="9"/>
      <c r="AK10" s="9">
        <v>42296.79</v>
      </c>
      <c r="AL10" s="9">
        <v>12208</v>
      </c>
      <c r="AM10" s="9">
        <v>12808</v>
      </c>
      <c r="AN10" s="9"/>
      <c r="AO10" s="9"/>
      <c r="AP10" s="9">
        <v>114</v>
      </c>
      <c r="AQ10" s="9">
        <v>73</v>
      </c>
      <c r="AR10" s="9">
        <v>23287</v>
      </c>
      <c r="AS10" s="9">
        <v>16460</v>
      </c>
      <c r="AT10" s="9">
        <v>10803</v>
      </c>
      <c r="AU10" s="9">
        <v>9757</v>
      </c>
      <c r="AV10" s="9">
        <v>87180</v>
      </c>
      <c r="AW10" s="9">
        <v>83503</v>
      </c>
      <c r="AX10" s="9">
        <v>6931</v>
      </c>
      <c r="AY10" s="9">
        <v>6793</v>
      </c>
      <c r="AZ10" s="9"/>
      <c r="BA10" s="9"/>
      <c r="BB10" s="9">
        <v>56789</v>
      </c>
      <c r="BC10" s="9">
        <v>52162</v>
      </c>
      <c r="BD10" s="9">
        <v>190460</v>
      </c>
      <c r="BE10" s="9">
        <v>179175</v>
      </c>
      <c r="BF10" s="9">
        <v>0</v>
      </c>
      <c r="BG10" s="9">
        <v>0</v>
      </c>
      <c r="BH10" s="9"/>
      <c r="BI10" s="9"/>
      <c r="BJ10" s="9">
        <v>6586</v>
      </c>
      <c r="BK10" s="9">
        <v>10941</v>
      </c>
      <c r="BL10" s="46">
        <f t="shared" si="0"/>
        <v>609781.6</v>
      </c>
      <c r="BM10" s="46">
        <f t="shared" si="1"/>
        <v>617792.85</v>
      </c>
    </row>
    <row r="11" spans="1:65" x14ac:dyDescent="0.25">
      <c r="A11" s="2" t="s">
        <v>272</v>
      </c>
      <c r="B11" s="9"/>
      <c r="C11" s="9"/>
      <c r="D11" s="9"/>
      <c r="E11" s="9"/>
      <c r="F11" s="9"/>
      <c r="G11" s="9"/>
      <c r="H11" s="9">
        <v>33793</v>
      </c>
      <c r="I11" s="9">
        <v>33793</v>
      </c>
      <c r="J11" s="9"/>
      <c r="K11" s="9"/>
      <c r="L11" s="9">
        <v>45181</v>
      </c>
      <c r="M11" s="9">
        <v>45181</v>
      </c>
      <c r="N11" s="9">
        <v>8442</v>
      </c>
      <c r="O11" s="9">
        <v>8442</v>
      </c>
      <c r="P11" s="9"/>
      <c r="Q11" s="9"/>
      <c r="R11" s="9">
        <v>705.61</v>
      </c>
      <c r="S11" s="9">
        <v>705.61</v>
      </c>
      <c r="T11" s="9">
        <v>15382.43</v>
      </c>
      <c r="U11" s="9">
        <v>15382.43</v>
      </c>
      <c r="V11" s="9">
        <v>-46219</v>
      </c>
      <c r="W11" s="9">
        <v>-46219</v>
      </c>
      <c r="X11" s="9">
        <v>46569</v>
      </c>
      <c r="Y11" s="9">
        <v>46569</v>
      </c>
      <c r="Z11" s="9">
        <v>-125</v>
      </c>
      <c r="AA11" s="9">
        <v>13836</v>
      </c>
      <c r="AB11" s="9">
        <v>4210</v>
      </c>
      <c r="AC11" s="9">
        <v>4210</v>
      </c>
      <c r="AD11" s="9">
        <v>4875</v>
      </c>
      <c r="AE11" s="9">
        <v>4875</v>
      </c>
      <c r="AF11" s="9">
        <v>-8672</v>
      </c>
      <c r="AG11" s="9">
        <v>-8672</v>
      </c>
      <c r="AH11" s="9"/>
      <c r="AI11" s="9"/>
      <c r="AJ11" s="9">
        <v>-1934.86</v>
      </c>
      <c r="AK11" s="9">
        <v>40394.22</v>
      </c>
      <c r="AL11" s="9">
        <v>-11867</v>
      </c>
      <c r="AM11" s="9">
        <v>-11867</v>
      </c>
      <c r="AN11" s="9"/>
      <c r="AO11" s="9"/>
      <c r="AP11" s="9">
        <v>151</v>
      </c>
      <c r="AQ11" s="9">
        <v>151</v>
      </c>
      <c r="AR11" s="9">
        <v>22253</v>
      </c>
      <c r="AS11" s="9">
        <v>22253</v>
      </c>
      <c r="AT11" s="9">
        <v>10778</v>
      </c>
      <c r="AU11" s="9">
        <v>10778</v>
      </c>
      <c r="AV11" s="9">
        <v>88812</v>
      </c>
      <c r="AW11" s="9">
        <v>88812</v>
      </c>
      <c r="AX11" s="9">
        <v>7574</v>
      </c>
      <c r="AY11" s="9">
        <v>7574</v>
      </c>
      <c r="AZ11" s="9"/>
      <c r="BA11" s="9"/>
      <c r="BB11" s="9">
        <v>55616</v>
      </c>
      <c r="BC11" s="9">
        <v>55616</v>
      </c>
      <c r="BD11" s="9">
        <v>187860</v>
      </c>
      <c r="BE11" s="9">
        <v>187860</v>
      </c>
      <c r="BF11" s="9">
        <v>-2861</v>
      </c>
      <c r="BG11" s="9">
        <v>1942</v>
      </c>
      <c r="BH11" s="9"/>
      <c r="BI11" s="9"/>
      <c r="BJ11" s="9">
        <v>-6038</v>
      </c>
      <c r="BK11" s="9">
        <v>-6038</v>
      </c>
      <c r="BL11" s="46">
        <f t="shared" si="0"/>
        <v>454485.18</v>
      </c>
      <c r="BM11" s="46">
        <f t="shared" si="1"/>
        <v>515578.26</v>
      </c>
    </row>
    <row r="12" spans="1:65" s="7" customFormat="1" x14ac:dyDescent="0.25">
      <c r="A12" s="10" t="s">
        <v>192</v>
      </c>
      <c r="B12" s="10"/>
      <c r="C12" s="10"/>
      <c r="D12" s="10"/>
      <c r="E12" s="10"/>
      <c r="F12" s="10"/>
      <c r="G12" s="10"/>
      <c r="H12" s="10">
        <v>7773</v>
      </c>
      <c r="I12" s="10">
        <v>20202</v>
      </c>
      <c r="J12" s="10"/>
      <c r="K12" s="10"/>
      <c r="L12" s="10">
        <v>4641</v>
      </c>
      <c r="M12" s="10">
        <v>12843</v>
      </c>
      <c r="N12" s="10">
        <v>2443</v>
      </c>
      <c r="O12" s="10">
        <v>5828</v>
      </c>
      <c r="P12" s="10"/>
      <c r="Q12" s="10"/>
      <c r="R12" s="10">
        <v>230.57</v>
      </c>
      <c r="S12" s="10">
        <v>625.89</v>
      </c>
      <c r="T12" s="10">
        <v>4101.32</v>
      </c>
      <c r="U12" s="10">
        <v>11338.34</v>
      </c>
      <c r="V12" s="10">
        <v>6860</v>
      </c>
      <c r="W12" s="10">
        <v>20463</v>
      </c>
      <c r="X12" s="10">
        <v>16812</v>
      </c>
      <c r="Y12" s="10">
        <v>48959</v>
      </c>
      <c r="Z12" s="10">
        <v>4753</v>
      </c>
      <c r="AA12" s="10">
        <v>13718</v>
      </c>
      <c r="AB12" s="10">
        <v>508</v>
      </c>
      <c r="AC12" s="10">
        <v>1409</v>
      </c>
      <c r="AD12" s="10">
        <v>598</v>
      </c>
      <c r="AE12" s="10">
        <v>1978</v>
      </c>
      <c r="AF12" s="10">
        <v>1707</v>
      </c>
      <c r="AG12" s="10">
        <v>4285</v>
      </c>
      <c r="AH12" s="10"/>
      <c r="AI12" s="10"/>
      <c r="AJ12" s="10">
        <v>11237.65</v>
      </c>
      <c r="AK12" s="10">
        <v>68506.66</v>
      </c>
      <c r="AL12" s="10">
        <v>268</v>
      </c>
      <c r="AM12" s="10">
        <v>813</v>
      </c>
      <c r="AN12" s="10"/>
      <c r="AO12" s="10"/>
      <c r="AP12" s="10">
        <v>49</v>
      </c>
      <c r="AQ12" s="10">
        <v>272</v>
      </c>
      <c r="AR12" s="10">
        <v>9248</v>
      </c>
      <c r="AS12" s="10">
        <v>28592</v>
      </c>
      <c r="AT12" s="10">
        <v>1815</v>
      </c>
      <c r="AU12" s="10">
        <v>4991</v>
      </c>
      <c r="AV12" s="10">
        <v>10191</v>
      </c>
      <c r="AW12" s="10">
        <v>28025</v>
      </c>
      <c r="AX12" s="10">
        <v>518</v>
      </c>
      <c r="AY12" s="10">
        <v>1974</v>
      </c>
      <c r="AZ12" s="10"/>
      <c r="BA12" s="10"/>
      <c r="BB12" s="10">
        <v>12357</v>
      </c>
      <c r="BC12" s="10">
        <v>35120</v>
      </c>
      <c r="BD12" s="10">
        <v>84260</v>
      </c>
      <c r="BE12" s="10">
        <v>213296</v>
      </c>
      <c r="BF12" s="10">
        <v>11671</v>
      </c>
      <c r="BG12" s="10">
        <v>59236</v>
      </c>
      <c r="BH12" s="10">
        <v>6953</v>
      </c>
      <c r="BI12" s="10">
        <v>62174</v>
      </c>
      <c r="BJ12" s="10">
        <v>1697</v>
      </c>
      <c r="BK12" s="10">
        <v>5005</v>
      </c>
      <c r="BL12" s="42">
        <f t="shared" si="0"/>
        <v>200691.54</v>
      </c>
      <c r="BM12" s="42">
        <f t="shared" si="1"/>
        <v>649653.89</v>
      </c>
    </row>
    <row r="14" spans="1:65" x14ac:dyDescent="0.25">
      <c r="A14" s="17" t="s">
        <v>183</v>
      </c>
    </row>
    <row r="15" spans="1:65" x14ac:dyDescent="0.25">
      <c r="A15" s="1" t="s">
        <v>0</v>
      </c>
      <c r="B15" s="127" t="s">
        <v>1</v>
      </c>
      <c r="C15" s="128"/>
      <c r="D15" s="127" t="s">
        <v>232</v>
      </c>
      <c r="E15" s="128"/>
      <c r="F15" s="127" t="s">
        <v>2</v>
      </c>
      <c r="G15" s="128"/>
      <c r="H15" s="127" t="s">
        <v>3</v>
      </c>
      <c r="I15" s="128"/>
      <c r="J15" s="127" t="s">
        <v>241</v>
      </c>
      <c r="K15" s="128"/>
      <c r="L15" s="127" t="s">
        <v>233</v>
      </c>
      <c r="M15" s="128"/>
      <c r="N15" s="127" t="s">
        <v>244</v>
      </c>
      <c r="O15" s="128"/>
      <c r="P15" s="127" t="s">
        <v>5</v>
      </c>
      <c r="Q15" s="128"/>
      <c r="R15" s="127" t="s">
        <v>4</v>
      </c>
      <c r="S15" s="128"/>
      <c r="T15" s="127" t="s">
        <v>6</v>
      </c>
      <c r="U15" s="128"/>
      <c r="V15" s="127" t="s">
        <v>7</v>
      </c>
      <c r="W15" s="128"/>
      <c r="X15" s="127" t="s">
        <v>8</v>
      </c>
      <c r="Y15" s="128"/>
      <c r="Z15" s="127" t="s">
        <v>9</v>
      </c>
      <c r="AA15" s="128"/>
      <c r="AB15" s="127" t="s">
        <v>240</v>
      </c>
      <c r="AC15" s="128"/>
      <c r="AD15" s="127" t="s">
        <v>10</v>
      </c>
      <c r="AE15" s="128"/>
      <c r="AF15" s="127" t="s">
        <v>11</v>
      </c>
      <c r="AG15" s="128"/>
      <c r="AH15" s="127" t="s">
        <v>234</v>
      </c>
      <c r="AI15" s="128"/>
      <c r="AJ15" s="127" t="s">
        <v>12</v>
      </c>
      <c r="AK15" s="128"/>
      <c r="AL15" s="127" t="s">
        <v>235</v>
      </c>
      <c r="AM15" s="128"/>
      <c r="AN15" s="127" t="s">
        <v>293</v>
      </c>
      <c r="AO15" s="128"/>
      <c r="AP15" s="127" t="s">
        <v>236</v>
      </c>
      <c r="AQ15" s="128"/>
      <c r="AR15" s="127" t="s">
        <v>239</v>
      </c>
      <c r="AS15" s="128"/>
      <c r="AT15" s="127" t="s">
        <v>13</v>
      </c>
      <c r="AU15" s="128"/>
      <c r="AV15" s="127" t="s">
        <v>14</v>
      </c>
      <c r="AW15" s="128"/>
      <c r="AX15" s="127" t="s">
        <v>15</v>
      </c>
      <c r="AY15" s="128"/>
      <c r="AZ15" s="127" t="s">
        <v>16</v>
      </c>
      <c r="BA15" s="128"/>
      <c r="BB15" s="127" t="s">
        <v>17</v>
      </c>
      <c r="BC15" s="128"/>
      <c r="BD15" s="127" t="s">
        <v>237</v>
      </c>
      <c r="BE15" s="128"/>
      <c r="BF15" s="127" t="s">
        <v>238</v>
      </c>
      <c r="BG15" s="128"/>
      <c r="BH15" s="127" t="s">
        <v>18</v>
      </c>
      <c r="BI15" s="128"/>
      <c r="BJ15" s="127" t="s">
        <v>19</v>
      </c>
      <c r="BK15" s="128"/>
      <c r="BL15" s="129" t="s">
        <v>20</v>
      </c>
      <c r="BM15" s="130"/>
    </row>
    <row r="16" spans="1:65" ht="30" x14ac:dyDescent="0.25">
      <c r="A16" s="1"/>
      <c r="B16" s="32" t="s">
        <v>299</v>
      </c>
      <c r="C16" s="33" t="s">
        <v>298</v>
      </c>
      <c r="D16" s="32" t="s">
        <v>299</v>
      </c>
      <c r="E16" s="33" t="s">
        <v>298</v>
      </c>
      <c r="F16" s="32" t="s">
        <v>299</v>
      </c>
      <c r="G16" s="33" t="s">
        <v>298</v>
      </c>
      <c r="H16" s="32" t="s">
        <v>299</v>
      </c>
      <c r="I16" s="33" t="s">
        <v>298</v>
      </c>
      <c r="J16" s="32" t="s">
        <v>299</v>
      </c>
      <c r="K16" s="33" t="s">
        <v>298</v>
      </c>
      <c r="L16" s="32" t="s">
        <v>299</v>
      </c>
      <c r="M16" s="33" t="s">
        <v>298</v>
      </c>
      <c r="N16" s="32" t="s">
        <v>299</v>
      </c>
      <c r="O16" s="33" t="s">
        <v>298</v>
      </c>
      <c r="P16" s="32" t="s">
        <v>299</v>
      </c>
      <c r="Q16" s="33" t="s">
        <v>298</v>
      </c>
      <c r="R16" s="32" t="s">
        <v>299</v>
      </c>
      <c r="S16" s="33" t="s">
        <v>298</v>
      </c>
      <c r="T16" s="32" t="s">
        <v>299</v>
      </c>
      <c r="U16" s="33" t="s">
        <v>298</v>
      </c>
      <c r="V16" s="32" t="s">
        <v>299</v>
      </c>
      <c r="W16" s="33" t="s">
        <v>298</v>
      </c>
      <c r="X16" s="32" t="s">
        <v>299</v>
      </c>
      <c r="Y16" s="33" t="s">
        <v>298</v>
      </c>
      <c r="Z16" s="32" t="s">
        <v>299</v>
      </c>
      <c r="AA16" s="33" t="s">
        <v>298</v>
      </c>
      <c r="AB16" s="32" t="s">
        <v>299</v>
      </c>
      <c r="AC16" s="33" t="s">
        <v>298</v>
      </c>
      <c r="AD16" s="32" t="s">
        <v>299</v>
      </c>
      <c r="AE16" s="33" t="s">
        <v>298</v>
      </c>
      <c r="AF16" s="32" t="s">
        <v>299</v>
      </c>
      <c r="AG16" s="33" t="s">
        <v>298</v>
      </c>
      <c r="AH16" s="32" t="s">
        <v>299</v>
      </c>
      <c r="AI16" s="33" t="s">
        <v>298</v>
      </c>
      <c r="AJ16" s="32" t="s">
        <v>299</v>
      </c>
      <c r="AK16" s="33" t="s">
        <v>298</v>
      </c>
      <c r="AL16" s="32" t="s">
        <v>299</v>
      </c>
      <c r="AM16" s="33" t="s">
        <v>298</v>
      </c>
      <c r="AN16" s="32" t="s">
        <v>299</v>
      </c>
      <c r="AO16" s="33" t="s">
        <v>298</v>
      </c>
      <c r="AP16" s="32" t="s">
        <v>299</v>
      </c>
      <c r="AQ16" s="33" t="s">
        <v>298</v>
      </c>
      <c r="AR16" s="32" t="s">
        <v>299</v>
      </c>
      <c r="AS16" s="33" t="s">
        <v>298</v>
      </c>
      <c r="AT16" s="32" t="s">
        <v>299</v>
      </c>
      <c r="AU16" s="33" t="s">
        <v>298</v>
      </c>
      <c r="AV16" s="32" t="s">
        <v>299</v>
      </c>
      <c r="AW16" s="33" t="s">
        <v>298</v>
      </c>
      <c r="AX16" s="32" t="s">
        <v>299</v>
      </c>
      <c r="AY16" s="33" t="s">
        <v>298</v>
      </c>
      <c r="AZ16" s="32" t="s">
        <v>299</v>
      </c>
      <c r="BA16" s="33" t="s">
        <v>298</v>
      </c>
      <c r="BB16" s="32" t="s">
        <v>299</v>
      </c>
      <c r="BC16" s="33" t="s">
        <v>298</v>
      </c>
      <c r="BD16" s="32" t="s">
        <v>299</v>
      </c>
      <c r="BE16" s="33" t="s">
        <v>298</v>
      </c>
      <c r="BF16" s="32" t="s">
        <v>299</v>
      </c>
      <c r="BG16" s="33" t="s">
        <v>298</v>
      </c>
      <c r="BH16" s="32" t="s">
        <v>299</v>
      </c>
      <c r="BI16" s="33" t="s">
        <v>298</v>
      </c>
      <c r="BJ16" s="32" t="s">
        <v>299</v>
      </c>
      <c r="BK16" s="33" t="s">
        <v>298</v>
      </c>
      <c r="BL16" s="32" t="s">
        <v>299</v>
      </c>
      <c r="BM16" s="33" t="s">
        <v>298</v>
      </c>
    </row>
    <row r="17" spans="1:65" x14ac:dyDescent="0.25">
      <c r="A17" s="9" t="s">
        <v>267</v>
      </c>
      <c r="B17" s="9"/>
      <c r="C17" s="9"/>
      <c r="D17" s="9"/>
      <c r="E17" s="9"/>
      <c r="F17" s="9"/>
      <c r="G17" s="9"/>
      <c r="H17" s="9">
        <v>5103</v>
      </c>
      <c r="I17" s="9">
        <v>21081</v>
      </c>
      <c r="J17" s="9"/>
      <c r="K17" s="9"/>
      <c r="L17" s="9">
        <v>2340</v>
      </c>
      <c r="M17" s="9">
        <v>9316</v>
      </c>
      <c r="N17" s="9">
        <v>474</v>
      </c>
      <c r="O17" s="9">
        <v>2987</v>
      </c>
      <c r="P17" s="9"/>
      <c r="Q17" s="9"/>
      <c r="R17" s="9"/>
      <c r="S17" s="9">
        <v>94</v>
      </c>
      <c r="T17" s="9">
        <v>2571.0500000000002</v>
      </c>
      <c r="U17" s="9">
        <v>8024.24</v>
      </c>
      <c r="V17" s="9">
        <v>4741</v>
      </c>
      <c r="W17" s="9">
        <v>17691</v>
      </c>
      <c r="X17" s="9">
        <v>15324</v>
      </c>
      <c r="Y17" s="9">
        <v>57096</v>
      </c>
      <c r="Z17" s="9">
        <v>7186</v>
      </c>
      <c r="AA17" s="9">
        <v>23506</v>
      </c>
      <c r="AB17" s="9">
        <v>450</v>
      </c>
      <c r="AC17" s="9">
        <v>1384</v>
      </c>
      <c r="AD17" s="9">
        <v>771</v>
      </c>
      <c r="AE17" s="9">
        <v>2897</v>
      </c>
      <c r="AF17" s="9">
        <v>381</v>
      </c>
      <c r="AG17" s="9">
        <v>1784</v>
      </c>
      <c r="AH17" s="9"/>
      <c r="AI17" s="9"/>
      <c r="AJ17" s="9">
        <v>5306.45</v>
      </c>
      <c r="AK17" s="9">
        <v>19242.919999999998</v>
      </c>
      <c r="AL17" s="9"/>
      <c r="AM17" s="9"/>
      <c r="AN17" s="9"/>
      <c r="AO17" s="9"/>
      <c r="AP17" s="9"/>
      <c r="AQ17" s="9">
        <v>1</v>
      </c>
      <c r="AR17" s="9">
        <v>3691</v>
      </c>
      <c r="AS17" s="9">
        <v>10984</v>
      </c>
      <c r="AT17" s="9">
        <v>1210</v>
      </c>
      <c r="AU17" s="9">
        <v>4009</v>
      </c>
      <c r="AV17" s="9">
        <v>2073</v>
      </c>
      <c r="AW17" s="9">
        <v>6620</v>
      </c>
      <c r="AX17" s="9">
        <v>59</v>
      </c>
      <c r="AY17" s="9">
        <v>170</v>
      </c>
      <c r="AZ17" s="9"/>
      <c r="BA17" s="9"/>
      <c r="BB17" s="9">
        <v>18180</v>
      </c>
      <c r="BC17" s="9">
        <v>49207</v>
      </c>
      <c r="BD17" s="9">
        <v>23185</v>
      </c>
      <c r="BE17" s="9">
        <v>74163</v>
      </c>
      <c r="BF17" s="9">
        <v>10553</v>
      </c>
      <c r="BG17" s="9">
        <v>37494</v>
      </c>
      <c r="BH17" s="9">
        <v>7008</v>
      </c>
      <c r="BI17" s="9">
        <v>30113</v>
      </c>
      <c r="BJ17" s="9">
        <v>1621</v>
      </c>
      <c r="BK17" s="9">
        <v>3672</v>
      </c>
      <c r="BL17" s="46">
        <f t="shared" ref="BL17:BL23" si="2">SUM(B17+D17+F17+H17+J17+L17+N17+P17+R17+T17+V17+X17+Z17+AB17+AD17+AF17+AH17+AJ17+AL17+AN17+AP17+AR17+AT17+AV17+AX17+AZ17+BB17+BD17+BF17+BH17+BJ17)</f>
        <v>112227.5</v>
      </c>
      <c r="BM17" s="46">
        <f t="shared" ref="BM17:BM19" si="3">SUM(C17+E17+G17+I17+K17+M17+O17+Q17+S17+U17+W17+Y17+AA17+AC17+AE17+AG17+AI17+AK17+AM17+AO17+AQ17+AS17+AU17+AW17+AY17+BA17+BC17+BE17+BG17+BI17+BK17)</f>
        <v>381536.16</v>
      </c>
    </row>
    <row r="18" spans="1:65" x14ac:dyDescent="0.25">
      <c r="A18" s="9" t="s">
        <v>268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99</v>
      </c>
      <c r="O18" s="9">
        <v>516</v>
      </c>
      <c r="P18" s="9"/>
      <c r="Q18" s="9"/>
      <c r="R18" s="9"/>
      <c r="S18" s="9"/>
      <c r="T18" s="9">
        <v>-4</v>
      </c>
      <c r="U18" s="9">
        <v>63.79</v>
      </c>
      <c r="V18" s="9">
        <v>122</v>
      </c>
      <c r="W18" s="9">
        <v>581</v>
      </c>
      <c r="X18" s="9">
        <v>327</v>
      </c>
      <c r="Y18" s="9">
        <v>1417</v>
      </c>
      <c r="Z18" s="9">
        <v>14</v>
      </c>
      <c r="AA18" s="9">
        <v>24</v>
      </c>
      <c r="AB18" s="9"/>
      <c r="AC18" s="9">
        <v>2</v>
      </c>
      <c r="AD18" s="9">
        <v>27</v>
      </c>
      <c r="AE18" s="9">
        <v>27</v>
      </c>
      <c r="AF18" s="9">
        <v>144</v>
      </c>
      <c r="AG18" s="9">
        <v>204</v>
      </c>
      <c r="AH18" s="9"/>
      <c r="AI18" s="9"/>
      <c r="AJ18" s="9">
        <v>626.41</v>
      </c>
      <c r="AK18" s="9">
        <v>906.59</v>
      </c>
      <c r="AL18" s="9"/>
      <c r="AM18" s="9"/>
      <c r="AN18" s="9"/>
      <c r="AO18" s="9"/>
      <c r="AP18" s="9"/>
      <c r="AQ18" s="9"/>
      <c r="AR18" s="9">
        <v>0</v>
      </c>
      <c r="AS18" s="9">
        <v>33</v>
      </c>
      <c r="AT18" s="9">
        <v>0</v>
      </c>
      <c r="AU18" s="9">
        <v>2</v>
      </c>
      <c r="AV18" s="9">
        <v>101</v>
      </c>
      <c r="AW18" s="9">
        <v>585</v>
      </c>
      <c r="AX18" s="9"/>
      <c r="AY18" s="9"/>
      <c r="AZ18" s="9"/>
      <c r="BA18" s="9"/>
      <c r="BB18" s="9">
        <v>1366</v>
      </c>
      <c r="BC18" s="9">
        <v>2602</v>
      </c>
      <c r="BD18" s="9">
        <v>395</v>
      </c>
      <c r="BE18" s="9">
        <v>2193</v>
      </c>
      <c r="BF18" s="9">
        <v>79</v>
      </c>
      <c r="BG18" s="9">
        <v>367</v>
      </c>
      <c r="BH18" s="9">
        <v>161</v>
      </c>
      <c r="BI18" s="9">
        <v>327</v>
      </c>
      <c r="BJ18" s="9">
        <v>7</v>
      </c>
      <c r="BK18" s="9">
        <v>31</v>
      </c>
      <c r="BL18" s="46">
        <f t="shared" si="2"/>
        <v>3464.41</v>
      </c>
      <c r="BM18" s="46">
        <f t="shared" si="3"/>
        <v>9881.380000000001</v>
      </c>
    </row>
    <row r="19" spans="1:65" x14ac:dyDescent="0.25">
      <c r="A19" s="9" t="s">
        <v>269</v>
      </c>
      <c r="B19" s="9"/>
      <c r="C19" s="9"/>
      <c r="D19" s="9"/>
      <c r="E19" s="9"/>
      <c r="F19" s="9"/>
      <c r="G19" s="9"/>
      <c r="H19" s="9">
        <v>-1542</v>
      </c>
      <c r="I19" s="9">
        <v>-8817</v>
      </c>
      <c r="J19" s="9"/>
      <c r="K19" s="9"/>
      <c r="L19" s="9">
        <v>1455</v>
      </c>
      <c r="M19" s="9">
        <v>5917</v>
      </c>
      <c r="N19" s="9">
        <v>538</v>
      </c>
      <c r="O19" s="9">
        <v>3227</v>
      </c>
      <c r="P19" s="9"/>
      <c r="Q19" s="9"/>
      <c r="R19" s="9">
        <v>-0.35</v>
      </c>
      <c r="S19" s="9">
        <v>97.11</v>
      </c>
      <c r="T19" s="9">
        <v>818.49</v>
      </c>
      <c r="U19" s="9">
        <v>2241.19</v>
      </c>
      <c r="V19" s="9">
        <v>-1154</v>
      </c>
      <c r="W19" s="9">
        <v>-4606</v>
      </c>
      <c r="X19" s="9">
        <v>6155</v>
      </c>
      <c r="Y19" s="9">
        <v>21776</v>
      </c>
      <c r="Z19" s="9">
        <v>3963</v>
      </c>
      <c r="AA19" s="9">
        <v>12497</v>
      </c>
      <c r="AB19" s="9">
        <v>383</v>
      </c>
      <c r="AC19" s="9">
        <v>1174</v>
      </c>
      <c r="AD19" s="9">
        <v>32</v>
      </c>
      <c r="AE19" s="9">
        <v>536</v>
      </c>
      <c r="AF19" s="9">
        <v>-396</v>
      </c>
      <c r="AG19" s="9">
        <v>-1707</v>
      </c>
      <c r="AH19" s="9"/>
      <c r="AI19" s="9"/>
      <c r="AJ19" s="9">
        <v>1703.78</v>
      </c>
      <c r="AK19" s="9">
        <v>8512.68</v>
      </c>
      <c r="AL19" s="9"/>
      <c r="AM19" s="9"/>
      <c r="AN19" s="9"/>
      <c r="AO19" s="9"/>
      <c r="AP19" s="9"/>
      <c r="AQ19" s="9"/>
      <c r="AR19" s="9">
        <v>3284</v>
      </c>
      <c r="AS19" s="9">
        <v>9345</v>
      </c>
      <c r="AT19" s="9">
        <v>666</v>
      </c>
      <c r="AU19" s="9">
        <v>2004</v>
      </c>
      <c r="AV19" s="9">
        <v>370</v>
      </c>
      <c r="AW19" s="9">
        <v>1395</v>
      </c>
      <c r="AX19" s="9">
        <v>52</v>
      </c>
      <c r="AY19" s="9">
        <v>150</v>
      </c>
      <c r="AZ19" s="9"/>
      <c r="BA19" s="9"/>
      <c r="BB19" s="9">
        <v>9148</v>
      </c>
      <c r="BC19" s="9">
        <v>14226</v>
      </c>
      <c r="BD19" s="9">
        <v>12379</v>
      </c>
      <c r="BE19" s="9">
        <v>33895</v>
      </c>
      <c r="BF19" s="9">
        <v>4868</v>
      </c>
      <c r="BG19" s="9">
        <v>17939</v>
      </c>
      <c r="BH19" s="9">
        <v>2424</v>
      </c>
      <c r="BI19" s="9">
        <v>13553</v>
      </c>
      <c r="BJ19" s="9">
        <v>1543</v>
      </c>
      <c r="BK19" s="9">
        <v>3367</v>
      </c>
      <c r="BL19" s="46">
        <f t="shared" si="2"/>
        <v>46689.919999999998</v>
      </c>
      <c r="BM19" s="46">
        <f t="shared" si="3"/>
        <v>136721.98000000001</v>
      </c>
    </row>
    <row r="20" spans="1:65" s="7" customFormat="1" x14ac:dyDescent="0.25">
      <c r="A20" s="10" t="s">
        <v>270</v>
      </c>
      <c r="B20" s="10"/>
      <c r="C20" s="10"/>
      <c r="D20" s="10"/>
      <c r="E20" s="10"/>
      <c r="F20" s="10"/>
      <c r="G20" s="10"/>
      <c r="H20" s="10">
        <v>3561</v>
      </c>
      <c r="I20" s="10">
        <v>12264</v>
      </c>
      <c r="J20" s="10"/>
      <c r="K20" s="10"/>
      <c r="L20" s="10">
        <v>884</v>
      </c>
      <c r="M20" s="10">
        <v>3399</v>
      </c>
      <c r="N20" s="10">
        <v>35</v>
      </c>
      <c r="O20" s="10">
        <v>276</v>
      </c>
      <c r="P20" s="10"/>
      <c r="Q20" s="10"/>
      <c r="R20" s="10">
        <v>0.35</v>
      </c>
      <c r="S20" s="10">
        <v>-2.96</v>
      </c>
      <c r="T20" s="10">
        <v>1748.56</v>
      </c>
      <c r="U20" s="10">
        <v>5846.84</v>
      </c>
      <c r="V20" s="10">
        <v>3709</v>
      </c>
      <c r="W20" s="10">
        <v>13667</v>
      </c>
      <c r="X20" s="10">
        <v>9496</v>
      </c>
      <c r="Y20" s="10">
        <v>36737</v>
      </c>
      <c r="Z20" s="10">
        <v>3237</v>
      </c>
      <c r="AA20" s="10">
        <v>11033</v>
      </c>
      <c r="AB20" s="10">
        <v>67</v>
      </c>
      <c r="AC20" s="10">
        <v>212</v>
      </c>
      <c r="AD20" s="10">
        <v>766</v>
      </c>
      <c r="AE20" s="10">
        <v>2388</v>
      </c>
      <c r="AF20" s="10">
        <v>130</v>
      </c>
      <c r="AG20" s="10">
        <v>281</v>
      </c>
      <c r="AH20" s="10"/>
      <c r="AI20" s="10"/>
      <c r="AJ20" s="10">
        <v>4229.08</v>
      </c>
      <c r="AK20" s="10">
        <v>11636.83</v>
      </c>
      <c r="AL20" s="10"/>
      <c r="AM20" s="10"/>
      <c r="AN20" s="10"/>
      <c r="AO20" s="10"/>
      <c r="AP20" s="10"/>
      <c r="AQ20" s="10"/>
      <c r="AR20" s="10">
        <v>408</v>
      </c>
      <c r="AS20" s="10">
        <v>1672</v>
      </c>
      <c r="AT20" s="10">
        <v>544</v>
      </c>
      <c r="AU20" s="10">
        <v>2007</v>
      </c>
      <c r="AV20" s="10">
        <v>1803</v>
      </c>
      <c r="AW20" s="10">
        <v>5810</v>
      </c>
      <c r="AX20" s="10">
        <v>8</v>
      </c>
      <c r="AY20" s="10">
        <v>20</v>
      </c>
      <c r="AZ20" s="10"/>
      <c r="BA20" s="10"/>
      <c r="BB20" s="10">
        <v>10398</v>
      </c>
      <c r="BC20" s="10">
        <v>37583</v>
      </c>
      <c r="BD20" s="10">
        <v>11201</v>
      </c>
      <c r="BE20" s="10">
        <v>42461</v>
      </c>
      <c r="BF20" s="10">
        <v>5764</v>
      </c>
      <c r="BG20" s="10">
        <v>19921</v>
      </c>
      <c r="BH20" s="10">
        <v>4745</v>
      </c>
      <c r="BI20" s="10">
        <v>16888</v>
      </c>
      <c r="BJ20" s="10">
        <v>85</v>
      </c>
      <c r="BK20" s="10">
        <v>336</v>
      </c>
      <c r="BL20" s="42">
        <f t="shared" si="2"/>
        <v>62818.99</v>
      </c>
      <c r="BM20" s="42">
        <f>SUM(C20+E20+G20+I20+K20+M20+O20+Q30+S20+U20+W20+Y20+AA20+AC20+AE20+AG20+AI20+AK20+AM20+AO20+AQ30+AS20+AU20+AW20+AY20+BA20+BC20+BE20+BG20+BI20+BK20)</f>
        <v>225942.71000000002</v>
      </c>
    </row>
    <row r="21" spans="1:65" x14ac:dyDescent="0.25">
      <c r="A21" s="9" t="s">
        <v>271</v>
      </c>
      <c r="B21" s="9"/>
      <c r="C21" s="9"/>
      <c r="D21" s="9"/>
      <c r="E21" s="9"/>
      <c r="F21" s="9"/>
      <c r="G21" s="9"/>
      <c r="H21" s="9">
        <v>5389</v>
      </c>
      <c r="I21" s="9">
        <v>3963</v>
      </c>
      <c r="J21" s="9"/>
      <c r="K21" s="9"/>
      <c r="L21" s="9">
        <v>1822</v>
      </c>
      <c r="M21" s="9">
        <v>1371</v>
      </c>
      <c r="N21" s="9">
        <v>118</v>
      </c>
      <c r="O21" s="9">
        <v>21</v>
      </c>
      <c r="P21" s="9"/>
      <c r="Q21" s="9"/>
      <c r="R21" s="9">
        <v>-0.6</v>
      </c>
      <c r="S21" s="9">
        <v>4.21</v>
      </c>
      <c r="T21" s="9">
        <v>2793.79</v>
      </c>
      <c r="U21" s="9">
        <v>1915.3</v>
      </c>
      <c r="V21" s="9">
        <v>6337</v>
      </c>
      <c r="W21" s="9">
        <v>3700</v>
      </c>
      <c r="X21" s="9">
        <v>14703</v>
      </c>
      <c r="Y21" s="9">
        <v>8595</v>
      </c>
      <c r="Z21" s="9"/>
      <c r="AA21" s="9">
        <v>3769</v>
      </c>
      <c r="AB21" s="9">
        <v>112</v>
      </c>
      <c r="AC21" s="9">
        <v>60</v>
      </c>
      <c r="AD21" s="9">
        <v>1091</v>
      </c>
      <c r="AE21" s="9">
        <v>902</v>
      </c>
      <c r="AF21" s="9">
        <v>176</v>
      </c>
      <c r="AG21" s="9">
        <v>23</v>
      </c>
      <c r="AH21" s="9"/>
      <c r="AI21" s="9"/>
      <c r="AJ21" s="9"/>
      <c r="AK21" s="9">
        <v>7227.84</v>
      </c>
      <c r="AL21" s="9"/>
      <c r="AM21" s="9"/>
      <c r="AN21" s="9"/>
      <c r="AO21" s="9"/>
      <c r="AP21" s="9"/>
      <c r="AQ21" s="9"/>
      <c r="AR21" s="9">
        <v>710</v>
      </c>
      <c r="AS21" s="9">
        <v>391</v>
      </c>
      <c r="AT21" s="9">
        <v>1357</v>
      </c>
      <c r="AU21" s="9">
        <v>1252</v>
      </c>
      <c r="AV21" s="9">
        <v>2876</v>
      </c>
      <c r="AW21" s="9">
        <v>2133</v>
      </c>
      <c r="AX21" s="9">
        <v>13</v>
      </c>
      <c r="AY21" s="9">
        <v>11</v>
      </c>
      <c r="AZ21" s="9"/>
      <c r="BA21" s="9"/>
      <c r="BB21" s="9">
        <v>18956</v>
      </c>
      <c r="BC21" s="9">
        <v>18235</v>
      </c>
      <c r="BD21" s="9">
        <v>37374</v>
      </c>
      <c r="BE21" s="9">
        <v>27426</v>
      </c>
      <c r="BF21" s="9">
        <v>0</v>
      </c>
      <c r="BG21" s="9">
        <v>0</v>
      </c>
      <c r="BH21" s="9"/>
      <c r="BI21" s="9"/>
      <c r="BJ21" s="9">
        <v>204</v>
      </c>
      <c r="BK21" s="9">
        <v>157</v>
      </c>
      <c r="BL21" s="46">
        <f t="shared" si="2"/>
        <v>94031.19</v>
      </c>
      <c r="BM21" s="46">
        <f>SUM(C21+E21+G21+I21+K21+M21+O21+Q31+S21+U21+W21+Y21+AA21+AC21+AE21+AG21+AI21+AK21+AM21+AO21+AQ31+AS21+AU21+AW21+AY21+BA21+BC21+BE21+BG21+BI21+BK21)</f>
        <v>105134.35</v>
      </c>
    </row>
    <row r="22" spans="1:65" x14ac:dyDescent="0.25">
      <c r="A22" s="2" t="s">
        <v>272</v>
      </c>
      <c r="B22" s="9"/>
      <c r="C22" s="9"/>
      <c r="D22" s="9"/>
      <c r="E22" s="9"/>
      <c r="F22" s="9"/>
      <c r="G22" s="9"/>
      <c r="H22" s="9">
        <v>5046</v>
      </c>
      <c r="I22" s="9">
        <v>5046</v>
      </c>
      <c r="J22" s="9"/>
      <c r="K22" s="9"/>
      <c r="L22" s="9">
        <v>1651</v>
      </c>
      <c r="M22" s="9">
        <v>1652</v>
      </c>
      <c r="N22" s="9">
        <v>83</v>
      </c>
      <c r="O22" s="9">
        <v>83</v>
      </c>
      <c r="P22" s="9"/>
      <c r="Q22" s="9"/>
      <c r="R22" s="9">
        <v>-0.72</v>
      </c>
      <c r="S22" s="9">
        <v>-0.72</v>
      </c>
      <c r="T22" s="9">
        <v>2543.0700000000002</v>
      </c>
      <c r="U22" s="9">
        <v>2543.0700000000002</v>
      </c>
      <c r="V22" s="9">
        <v>-5925</v>
      </c>
      <c r="W22" s="9">
        <v>-5925</v>
      </c>
      <c r="X22" s="9">
        <v>13279</v>
      </c>
      <c r="Y22" s="9">
        <v>13279</v>
      </c>
      <c r="Z22" s="9">
        <v>-259</v>
      </c>
      <c r="AA22" s="9">
        <v>5271</v>
      </c>
      <c r="AB22" s="9">
        <v>58</v>
      </c>
      <c r="AC22" s="9">
        <v>58</v>
      </c>
      <c r="AD22" s="9">
        <v>1022</v>
      </c>
      <c r="AE22" s="9">
        <v>1022</v>
      </c>
      <c r="AF22" s="9">
        <v>-200</v>
      </c>
      <c r="AG22" s="9">
        <v>-200</v>
      </c>
      <c r="AH22" s="9"/>
      <c r="AI22" s="9"/>
      <c r="AJ22" s="9">
        <v>1021.38</v>
      </c>
      <c r="AK22" s="9">
        <v>8680.0300000000007</v>
      </c>
      <c r="AL22" s="9"/>
      <c r="AM22" s="9"/>
      <c r="AN22" s="9"/>
      <c r="AO22" s="9"/>
      <c r="AP22" s="9"/>
      <c r="AQ22" s="9"/>
      <c r="AR22" s="9">
        <v>608</v>
      </c>
      <c r="AS22" s="9">
        <v>608</v>
      </c>
      <c r="AT22" s="9">
        <v>1317</v>
      </c>
      <c r="AU22" s="9">
        <v>1317</v>
      </c>
      <c r="AV22" s="9">
        <v>2942</v>
      </c>
      <c r="AW22" s="9">
        <v>2942</v>
      </c>
      <c r="AX22" s="9">
        <v>16</v>
      </c>
      <c r="AY22" s="9">
        <v>16</v>
      </c>
      <c r="AZ22" s="9"/>
      <c r="BA22" s="9"/>
      <c r="BB22" s="9">
        <v>17725</v>
      </c>
      <c r="BC22" s="9">
        <v>17725</v>
      </c>
      <c r="BD22" s="9">
        <v>35408</v>
      </c>
      <c r="BE22" s="9">
        <v>35408</v>
      </c>
      <c r="BF22" s="9">
        <v>561</v>
      </c>
      <c r="BG22" s="9">
        <v>2006</v>
      </c>
      <c r="BH22" s="9"/>
      <c r="BI22" s="9"/>
      <c r="BJ22" s="9">
        <v>-221</v>
      </c>
      <c r="BK22" s="9">
        <v>-221</v>
      </c>
      <c r="BL22" s="46">
        <f t="shared" si="2"/>
        <v>76674.73</v>
      </c>
      <c r="BM22" s="46">
        <f>SUM(C22+E22+G22+I22+K22+M22+O22+Q32+S22+U22+W22+Y22+AA22+AC22+AE22+AG22+AI22+AK22+AM22+AO22+AQ32+AS22+AU22+AW22+AY22+BA22+BC22+BE22+BG22+BI22+BK22)</f>
        <v>104532.38</v>
      </c>
    </row>
    <row r="23" spans="1:65" s="7" customFormat="1" x14ac:dyDescent="0.25">
      <c r="A23" s="10" t="s">
        <v>192</v>
      </c>
      <c r="B23" s="10"/>
      <c r="C23" s="10"/>
      <c r="D23" s="10"/>
      <c r="E23" s="10"/>
      <c r="F23" s="10"/>
      <c r="G23" s="10"/>
      <c r="H23" s="10">
        <v>3904</v>
      </c>
      <c r="I23" s="10">
        <v>11181</v>
      </c>
      <c r="J23" s="10"/>
      <c r="K23" s="10"/>
      <c r="L23" s="10">
        <v>1055</v>
      </c>
      <c r="M23" s="10">
        <v>3118</v>
      </c>
      <c r="N23" s="10">
        <v>70</v>
      </c>
      <c r="O23" s="10">
        <v>214</v>
      </c>
      <c r="P23" s="10"/>
      <c r="Q23" s="10"/>
      <c r="R23" s="10">
        <v>0.47</v>
      </c>
      <c r="S23" s="10">
        <v>1.97</v>
      </c>
      <c r="T23" s="10">
        <v>1999.27</v>
      </c>
      <c r="U23" s="10">
        <v>5219.07</v>
      </c>
      <c r="V23" s="10">
        <v>4122</v>
      </c>
      <c r="W23" s="10">
        <v>11443</v>
      </c>
      <c r="X23" s="10">
        <v>10920</v>
      </c>
      <c r="Y23" s="10">
        <v>32053</v>
      </c>
      <c r="Z23" s="10">
        <v>3496</v>
      </c>
      <c r="AA23" s="10">
        <v>9531</v>
      </c>
      <c r="AB23" s="10">
        <v>121</v>
      </c>
      <c r="AC23" s="10">
        <v>214</v>
      </c>
      <c r="AD23" s="10">
        <v>835</v>
      </c>
      <c r="AE23" s="10">
        <v>2268</v>
      </c>
      <c r="AF23" s="10">
        <v>105</v>
      </c>
      <c r="AG23" s="10">
        <v>104</v>
      </c>
      <c r="AH23" s="10"/>
      <c r="AI23" s="10"/>
      <c r="AJ23" s="10">
        <v>3207.69</v>
      </c>
      <c r="AK23" s="10">
        <v>10184.629999999999</v>
      </c>
      <c r="AL23" s="10"/>
      <c r="AM23" s="10"/>
      <c r="AN23" s="10"/>
      <c r="AO23" s="10"/>
      <c r="AP23" s="10"/>
      <c r="AQ23" s="10"/>
      <c r="AR23" s="10">
        <v>509</v>
      </c>
      <c r="AS23" s="10">
        <v>1455</v>
      </c>
      <c r="AT23" s="10">
        <v>584</v>
      </c>
      <c r="AU23" s="10">
        <v>1942</v>
      </c>
      <c r="AV23" s="10">
        <v>1737</v>
      </c>
      <c r="AW23" s="10">
        <v>5000</v>
      </c>
      <c r="AX23" s="10">
        <v>5</v>
      </c>
      <c r="AY23" s="10">
        <v>15</v>
      </c>
      <c r="AZ23" s="10"/>
      <c r="BA23" s="10"/>
      <c r="BB23" s="10">
        <v>11629</v>
      </c>
      <c r="BC23" s="10">
        <v>38093</v>
      </c>
      <c r="BD23" s="10">
        <v>13168</v>
      </c>
      <c r="BE23" s="10">
        <v>34480</v>
      </c>
      <c r="BF23" s="10">
        <v>5203</v>
      </c>
      <c r="BG23" s="10">
        <v>17916</v>
      </c>
      <c r="BH23" s="10">
        <v>7207</v>
      </c>
      <c r="BI23" s="10">
        <v>18284</v>
      </c>
      <c r="BJ23" s="10">
        <v>68</v>
      </c>
      <c r="BK23" s="10">
        <v>271</v>
      </c>
      <c r="BL23" s="42">
        <f t="shared" si="2"/>
        <v>69945.429999999993</v>
      </c>
      <c r="BM23" s="42">
        <f>SUM(C23+E23+G23+I23+K23+M23+O23+Q33+S23+U23+W23+Y23+AA23+AC23+AE23+AG23+AI23+AK23+AM23+AO23+AQ33+AS23+AU23+AW23+AY23+BA23+BC23+BE23+BG23+BI23+BK23)</f>
        <v>218056.67</v>
      </c>
    </row>
    <row r="25" spans="1:65" x14ac:dyDescent="0.25">
      <c r="A25" s="17" t="s">
        <v>184</v>
      </c>
    </row>
    <row r="26" spans="1:65" x14ac:dyDescent="0.25">
      <c r="A26" s="1" t="s">
        <v>0</v>
      </c>
      <c r="B26" s="127" t="s">
        <v>1</v>
      </c>
      <c r="C26" s="128"/>
      <c r="D26" s="127" t="s">
        <v>232</v>
      </c>
      <c r="E26" s="128"/>
      <c r="F26" s="127" t="s">
        <v>2</v>
      </c>
      <c r="G26" s="128"/>
      <c r="H26" s="127" t="s">
        <v>3</v>
      </c>
      <c r="I26" s="128"/>
      <c r="J26" s="127" t="s">
        <v>241</v>
      </c>
      <c r="K26" s="128"/>
      <c r="L26" s="127" t="s">
        <v>233</v>
      </c>
      <c r="M26" s="128"/>
      <c r="N26" s="127" t="s">
        <v>244</v>
      </c>
      <c r="O26" s="128"/>
      <c r="P26" s="127" t="s">
        <v>5</v>
      </c>
      <c r="Q26" s="128"/>
      <c r="R26" s="127" t="s">
        <v>4</v>
      </c>
      <c r="S26" s="128"/>
      <c r="T26" s="127" t="s">
        <v>6</v>
      </c>
      <c r="U26" s="128"/>
      <c r="V26" s="127" t="s">
        <v>7</v>
      </c>
      <c r="W26" s="128"/>
      <c r="X26" s="127" t="s">
        <v>8</v>
      </c>
      <c r="Y26" s="128"/>
      <c r="Z26" s="127" t="s">
        <v>9</v>
      </c>
      <c r="AA26" s="128"/>
      <c r="AB26" s="127" t="s">
        <v>240</v>
      </c>
      <c r="AC26" s="128"/>
      <c r="AD26" s="127" t="s">
        <v>10</v>
      </c>
      <c r="AE26" s="128"/>
      <c r="AF26" s="127" t="s">
        <v>11</v>
      </c>
      <c r="AG26" s="128"/>
      <c r="AH26" s="127" t="s">
        <v>234</v>
      </c>
      <c r="AI26" s="128"/>
      <c r="AJ26" s="127" t="s">
        <v>12</v>
      </c>
      <c r="AK26" s="128"/>
      <c r="AL26" s="127" t="s">
        <v>235</v>
      </c>
      <c r="AM26" s="128"/>
      <c r="AN26" s="127" t="s">
        <v>293</v>
      </c>
      <c r="AO26" s="128"/>
      <c r="AP26" s="127" t="s">
        <v>236</v>
      </c>
      <c r="AQ26" s="128"/>
      <c r="AR26" s="127" t="s">
        <v>239</v>
      </c>
      <c r="AS26" s="128"/>
      <c r="AT26" s="127" t="s">
        <v>13</v>
      </c>
      <c r="AU26" s="128"/>
      <c r="AV26" s="127" t="s">
        <v>14</v>
      </c>
      <c r="AW26" s="128"/>
      <c r="AX26" s="127" t="s">
        <v>15</v>
      </c>
      <c r="AY26" s="128"/>
      <c r="AZ26" s="127" t="s">
        <v>16</v>
      </c>
      <c r="BA26" s="128"/>
      <c r="BB26" s="127" t="s">
        <v>17</v>
      </c>
      <c r="BC26" s="128"/>
      <c r="BD26" s="127" t="s">
        <v>237</v>
      </c>
      <c r="BE26" s="128"/>
      <c r="BF26" s="127" t="s">
        <v>238</v>
      </c>
      <c r="BG26" s="128"/>
      <c r="BH26" s="127" t="s">
        <v>18</v>
      </c>
      <c r="BI26" s="128"/>
      <c r="BJ26" s="127" t="s">
        <v>19</v>
      </c>
      <c r="BK26" s="128"/>
      <c r="BL26" s="129" t="s">
        <v>20</v>
      </c>
      <c r="BM26" s="130"/>
    </row>
    <row r="27" spans="1:65" ht="30" x14ac:dyDescent="0.25">
      <c r="A27" s="1"/>
      <c r="B27" s="32" t="s">
        <v>299</v>
      </c>
      <c r="C27" s="33" t="s">
        <v>298</v>
      </c>
      <c r="D27" s="32" t="s">
        <v>299</v>
      </c>
      <c r="E27" s="33" t="s">
        <v>298</v>
      </c>
      <c r="F27" s="32" t="s">
        <v>299</v>
      </c>
      <c r="G27" s="33" t="s">
        <v>298</v>
      </c>
      <c r="H27" s="32" t="s">
        <v>299</v>
      </c>
      <c r="I27" s="33" t="s">
        <v>298</v>
      </c>
      <c r="J27" s="32" t="s">
        <v>299</v>
      </c>
      <c r="K27" s="33" t="s">
        <v>298</v>
      </c>
      <c r="L27" s="32" t="s">
        <v>299</v>
      </c>
      <c r="M27" s="33" t="s">
        <v>298</v>
      </c>
      <c r="N27" s="32" t="s">
        <v>299</v>
      </c>
      <c r="O27" s="33" t="s">
        <v>298</v>
      </c>
      <c r="P27" s="32" t="s">
        <v>299</v>
      </c>
      <c r="Q27" s="33" t="s">
        <v>298</v>
      </c>
      <c r="R27" s="32" t="s">
        <v>299</v>
      </c>
      <c r="S27" s="33" t="s">
        <v>298</v>
      </c>
      <c r="T27" s="32" t="s">
        <v>299</v>
      </c>
      <c r="U27" s="33" t="s">
        <v>298</v>
      </c>
      <c r="V27" s="32" t="s">
        <v>299</v>
      </c>
      <c r="W27" s="33" t="s">
        <v>298</v>
      </c>
      <c r="X27" s="32" t="s">
        <v>299</v>
      </c>
      <c r="Y27" s="33" t="s">
        <v>298</v>
      </c>
      <c r="Z27" s="32" t="s">
        <v>299</v>
      </c>
      <c r="AA27" s="33" t="s">
        <v>298</v>
      </c>
      <c r="AB27" s="32" t="s">
        <v>299</v>
      </c>
      <c r="AC27" s="33" t="s">
        <v>298</v>
      </c>
      <c r="AD27" s="32" t="s">
        <v>299</v>
      </c>
      <c r="AE27" s="33" t="s">
        <v>298</v>
      </c>
      <c r="AF27" s="32" t="s">
        <v>299</v>
      </c>
      <c r="AG27" s="33" t="s">
        <v>298</v>
      </c>
      <c r="AH27" s="32" t="s">
        <v>299</v>
      </c>
      <c r="AI27" s="33" t="s">
        <v>298</v>
      </c>
      <c r="AJ27" s="32" t="s">
        <v>299</v>
      </c>
      <c r="AK27" s="33" t="s">
        <v>298</v>
      </c>
      <c r="AL27" s="32" t="s">
        <v>299</v>
      </c>
      <c r="AM27" s="33" t="s">
        <v>298</v>
      </c>
      <c r="AN27" s="32" t="s">
        <v>299</v>
      </c>
      <c r="AO27" s="33" t="s">
        <v>298</v>
      </c>
      <c r="AP27" s="32" t="s">
        <v>299</v>
      </c>
      <c r="AQ27" s="33" t="s">
        <v>298</v>
      </c>
      <c r="AR27" s="32" t="s">
        <v>299</v>
      </c>
      <c r="AS27" s="33" t="s">
        <v>298</v>
      </c>
      <c r="AT27" s="32" t="s">
        <v>299</v>
      </c>
      <c r="AU27" s="33" t="s">
        <v>298</v>
      </c>
      <c r="AV27" s="32" t="s">
        <v>299</v>
      </c>
      <c r="AW27" s="33" t="s">
        <v>298</v>
      </c>
      <c r="AX27" s="32" t="s">
        <v>299</v>
      </c>
      <c r="AY27" s="33" t="s">
        <v>298</v>
      </c>
      <c r="AZ27" s="32" t="s">
        <v>299</v>
      </c>
      <c r="BA27" s="33" t="s">
        <v>298</v>
      </c>
      <c r="BB27" s="32" t="s">
        <v>299</v>
      </c>
      <c r="BC27" s="33" t="s">
        <v>298</v>
      </c>
      <c r="BD27" s="32" t="s">
        <v>299</v>
      </c>
      <c r="BE27" s="33" t="s">
        <v>298</v>
      </c>
      <c r="BF27" s="32" t="s">
        <v>299</v>
      </c>
      <c r="BG27" s="33" t="s">
        <v>298</v>
      </c>
      <c r="BH27" s="32" t="s">
        <v>299</v>
      </c>
      <c r="BI27" s="33" t="s">
        <v>298</v>
      </c>
      <c r="BJ27" s="32" t="s">
        <v>299</v>
      </c>
      <c r="BK27" s="33" t="s">
        <v>298</v>
      </c>
      <c r="BL27" s="32" t="s">
        <v>299</v>
      </c>
      <c r="BM27" s="33" t="s">
        <v>298</v>
      </c>
    </row>
    <row r="28" spans="1:65" x14ac:dyDescent="0.25">
      <c r="A28" s="9" t="s">
        <v>267</v>
      </c>
      <c r="B28" s="9">
        <v>19314</v>
      </c>
      <c r="C28" s="9">
        <v>48127</v>
      </c>
      <c r="D28" s="9"/>
      <c r="E28" s="9"/>
      <c r="F28" s="9"/>
      <c r="G28" s="9"/>
      <c r="H28" s="9">
        <v>147931</v>
      </c>
      <c r="I28" s="9">
        <v>379694</v>
      </c>
      <c r="J28" s="9"/>
      <c r="K28" s="9"/>
      <c r="L28" s="9">
        <v>120245</v>
      </c>
      <c r="M28" s="9">
        <v>304024</v>
      </c>
      <c r="N28" s="9">
        <v>111515</v>
      </c>
      <c r="O28" s="9">
        <v>279629</v>
      </c>
      <c r="P28" s="9"/>
      <c r="Q28" s="9"/>
      <c r="R28" s="9">
        <v>7994.49</v>
      </c>
      <c r="S28" s="9">
        <v>23326.240000000002</v>
      </c>
      <c r="T28" s="9">
        <v>38861.769999999997</v>
      </c>
      <c r="U28" s="9">
        <v>111658.6</v>
      </c>
      <c r="V28" s="9">
        <v>147073</v>
      </c>
      <c r="W28" s="9">
        <v>351339</v>
      </c>
      <c r="X28" s="9">
        <v>269093</v>
      </c>
      <c r="Y28" s="9">
        <v>640019</v>
      </c>
      <c r="Z28" s="9">
        <v>123478</v>
      </c>
      <c r="AA28" s="9">
        <v>291995</v>
      </c>
      <c r="AB28" s="9">
        <v>13280</v>
      </c>
      <c r="AC28" s="9">
        <v>36375</v>
      </c>
      <c r="AD28" s="9">
        <v>42210</v>
      </c>
      <c r="AE28" s="9">
        <v>99916</v>
      </c>
      <c r="AF28" s="9">
        <v>55415</v>
      </c>
      <c r="AG28" s="9">
        <v>141190</v>
      </c>
      <c r="AH28" s="9"/>
      <c r="AI28" s="9"/>
      <c r="AJ28" s="9">
        <v>143189.79</v>
      </c>
      <c r="AK28" s="9">
        <v>356109.9</v>
      </c>
      <c r="AL28" s="9">
        <v>781</v>
      </c>
      <c r="AM28" s="9">
        <v>2519</v>
      </c>
      <c r="AN28" s="9"/>
      <c r="AO28" s="9"/>
      <c r="AP28" s="9">
        <v>6335</v>
      </c>
      <c r="AQ28" s="9">
        <v>25485</v>
      </c>
      <c r="AR28" s="9">
        <v>125287</v>
      </c>
      <c r="AS28" s="9">
        <v>288825</v>
      </c>
      <c r="AT28" s="9">
        <v>73520</v>
      </c>
      <c r="AU28" s="9">
        <v>177756</v>
      </c>
      <c r="AV28" s="9">
        <v>60925</v>
      </c>
      <c r="AW28" s="9">
        <v>174368</v>
      </c>
      <c r="AX28" s="9">
        <v>54965</v>
      </c>
      <c r="AY28" s="9">
        <v>147000</v>
      </c>
      <c r="AZ28" s="9"/>
      <c r="BA28" s="9"/>
      <c r="BB28" s="9">
        <v>178450</v>
      </c>
      <c r="BC28" s="9">
        <v>448183</v>
      </c>
      <c r="BD28" s="9">
        <v>282122</v>
      </c>
      <c r="BE28" s="9">
        <v>729558</v>
      </c>
      <c r="BF28" s="9">
        <v>105863</v>
      </c>
      <c r="BG28" s="9">
        <v>264813</v>
      </c>
      <c r="BH28" s="9">
        <v>165334</v>
      </c>
      <c r="BI28" s="9">
        <v>419404</v>
      </c>
      <c r="BJ28" s="9">
        <v>43526</v>
      </c>
      <c r="BK28" s="9">
        <v>143017</v>
      </c>
      <c r="BL28" s="46">
        <f t="shared" ref="BL28:BL34" si="4">SUM(B28+D28+F28+H28+J28+L28+N28+P28+R28+T28+V28+X28+Z28+AB28+AD28+AF28+AH28+AJ28+AL28+AN28+AP28+AR28+AT28+AV28+AX28+AZ28+BB28+BD28+BF28+BH28+BJ28)</f>
        <v>2336708.0499999998</v>
      </c>
      <c r="BM28" s="46" t="e">
        <f>SUM(C28+E28+G28+I28+K28+M28+O28+Q38+S28+U28+W28+Y28+AA28+AC28+AE28+AG28+AI28+AK28+AM28+AO28+AQ38+AS28+AU28+AW28+AY28+BA28+BC28+BE28+BG28+BI28+BK28)</f>
        <v>#VALUE!</v>
      </c>
    </row>
    <row r="29" spans="1:65" x14ac:dyDescent="0.25">
      <c r="A29" s="9" t="s">
        <v>268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15793</v>
      </c>
      <c r="O29" s="9">
        <v>32821</v>
      </c>
      <c r="P29" s="9"/>
      <c r="Q29" s="9"/>
      <c r="R29" s="9"/>
      <c r="S29" s="9"/>
      <c r="T29" s="9"/>
      <c r="U29" s="9"/>
      <c r="V29" s="9"/>
      <c r="W29" s="9"/>
      <c r="X29" s="9"/>
      <c r="Y29" s="9">
        <v>442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>
        <v>16.68</v>
      </c>
      <c r="AK29" s="9">
        <v>278.17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>
        <v>146</v>
      </c>
      <c r="BE29" s="9">
        <v>449</v>
      </c>
      <c r="BF29" s="9">
        <v>1</v>
      </c>
      <c r="BG29" s="9">
        <v>520</v>
      </c>
      <c r="BH29" s="9"/>
      <c r="BI29" s="9"/>
      <c r="BJ29" s="9"/>
      <c r="BK29" s="9"/>
      <c r="BL29" s="46">
        <f t="shared" si="4"/>
        <v>15956.68</v>
      </c>
      <c r="BM29" s="46">
        <f>SUM(C29+E29+G29+I29+K29+M29+O29+Q39+S29+U29+W29+Y29+AA29+AC29+AE29+AG29+AI29+AK29+AM29+AO29+AQ39+AS29+AU29+AW29+AY29+BA29+BC29+BE29+BG29+BI29+BK29)</f>
        <v>35539.17</v>
      </c>
    </row>
    <row r="30" spans="1:65" x14ac:dyDescent="0.25">
      <c r="A30" s="9" t="s">
        <v>269</v>
      </c>
      <c r="B30" s="9">
        <v>8885</v>
      </c>
      <c r="C30" s="9">
        <v>22247</v>
      </c>
      <c r="D30" s="9"/>
      <c r="E30" s="9"/>
      <c r="F30" s="9"/>
      <c r="G30" s="9"/>
      <c r="H30" s="9">
        <v>-26979</v>
      </c>
      <c r="I30" s="9">
        <v>-64267</v>
      </c>
      <c r="J30" s="9"/>
      <c r="K30" s="9"/>
      <c r="L30" s="9">
        <v>21054</v>
      </c>
      <c r="M30" s="9">
        <v>53797</v>
      </c>
      <c r="N30" s="9">
        <v>4687</v>
      </c>
      <c r="O30" s="9">
        <v>11634</v>
      </c>
      <c r="P30" s="9"/>
      <c r="Q30" s="9"/>
      <c r="R30" s="9">
        <v>2444.4699999999998</v>
      </c>
      <c r="S30" s="9">
        <v>8929.57</v>
      </c>
      <c r="T30" s="9">
        <v>1950.73</v>
      </c>
      <c r="U30" s="9">
        <v>5629.27</v>
      </c>
      <c r="V30" s="9">
        <v>-43015</v>
      </c>
      <c r="W30" s="9">
        <v>-103916</v>
      </c>
      <c r="X30" s="9">
        <v>11243</v>
      </c>
      <c r="Y30" s="9">
        <v>27963</v>
      </c>
      <c r="Z30" s="9">
        <v>5678</v>
      </c>
      <c r="AA30" s="9">
        <v>13015</v>
      </c>
      <c r="AB30" s="9">
        <v>2958</v>
      </c>
      <c r="AC30" s="9">
        <v>7362</v>
      </c>
      <c r="AD30" s="9">
        <v>1768</v>
      </c>
      <c r="AE30" s="9">
        <v>4842</v>
      </c>
      <c r="AF30" s="9">
        <v>-7684</v>
      </c>
      <c r="AG30" s="9">
        <v>-20554</v>
      </c>
      <c r="AH30" s="9"/>
      <c r="AI30" s="9"/>
      <c r="AJ30" s="9">
        <v>6591.95</v>
      </c>
      <c r="AK30" s="9">
        <v>16624.14</v>
      </c>
      <c r="AL30" s="9">
        <v>-663</v>
      </c>
      <c r="AM30" s="9">
        <v>-1592</v>
      </c>
      <c r="AN30" s="9"/>
      <c r="AO30" s="9"/>
      <c r="AP30" s="9">
        <v>374</v>
      </c>
      <c r="AQ30" s="9">
        <v>1507</v>
      </c>
      <c r="AR30" s="9">
        <v>29117</v>
      </c>
      <c r="AS30" s="9">
        <v>73094</v>
      </c>
      <c r="AT30" s="9">
        <v>9407</v>
      </c>
      <c r="AU30" s="9">
        <v>23044</v>
      </c>
      <c r="AV30" s="9">
        <v>27571</v>
      </c>
      <c r="AW30" s="9">
        <v>69423</v>
      </c>
      <c r="AX30" s="9">
        <v>2656</v>
      </c>
      <c r="AY30" s="9">
        <v>7290</v>
      </c>
      <c r="AZ30" s="9"/>
      <c r="BA30" s="9"/>
      <c r="BB30" s="9">
        <v>58375</v>
      </c>
      <c r="BC30" s="9">
        <v>106077</v>
      </c>
      <c r="BD30" s="9">
        <v>12279</v>
      </c>
      <c r="BE30" s="9">
        <v>34867</v>
      </c>
      <c r="BF30" s="9">
        <v>4742</v>
      </c>
      <c r="BG30" s="9">
        <v>11604</v>
      </c>
      <c r="BH30" s="9">
        <v>6665</v>
      </c>
      <c r="BI30" s="9">
        <v>16889</v>
      </c>
      <c r="BJ30" s="9">
        <v>20563</v>
      </c>
      <c r="BK30" s="9">
        <v>26516</v>
      </c>
      <c r="BL30" s="46">
        <f t="shared" si="4"/>
        <v>160668.15</v>
      </c>
      <c r="BM30" s="46">
        <f t="shared" ref="BM30:BM34" si="5">SUM(C30+E30+G30+I30+K30+M30+O30+Q30+S30+U30+W30+Y30+AA30+AC30+AE30+AG30+AI30+AK30+AM30+AO30+AQ30+AS30+AU30+AW30+AY30+BA30+BC30+BE30+BG30+BI30+BK30)</f>
        <v>352024.98</v>
      </c>
    </row>
    <row r="31" spans="1:65" s="7" customFormat="1" x14ac:dyDescent="0.25">
      <c r="A31" s="10" t="s">
        <v>270</v>
      </c>
      <c r="B31" s="10">
        <v>10429</v>
      </c>
      <c r="C31" s="10">
        <v>25880</v>
      </c>
      <c r="D31" s="10"/>
      <c r="E31" s="10"/>
      <c r="F31" s="10"/>
      <c r="G31" s="10"/>
      <c r="H31" s="10">
        <v>120952</v>
      </c>
      <c r="I31" s="10">
        <v>315427</v>
      </c>
      <c r="J31" s="10"/>
      <c r="K31" s="10"/>
      <c r="L31" s="10">
        <v>99191</v>
      </c>
      <c r="M31" s="10">
        <v>250226</v>
      </c>
      <c r="N31" s="10">
        <v>122621</v>
      </c>
      <c r="O31" s="10">
        <v>300816</v>
      </c>
      <c r="P31" s="10"/>
      <c r="Q31" s="10"/>
      <c r="R31" s="10">
        <v>5550.02</v>
      </c>
      <c r="S31" s="10">
        <v>14396.67</v>
      </c>
      <c r="T31" s="10">
        <v>36911.03</v>
      </c>
      <c r="U31" s="10">
        <v>106029.34</v>
      </c>
      <c r="V31" s="10">
        <v>104057</v>
      </c>
      <c r="W31" s="10">
        <v>247423</v>
      </c>
      <c r="X31" s="10">
        <v>257850</v>
      </c>
      <c r="Y31" s="10">
        <v>612498</v>
      </c>
      <c r="Z31" s="10">
        <v>117800</v>
      </c>
      <c r="AA31" s="10">
        <v>278980</v>
      </c>
      <c r="AB31" s="10">
        <v>10322</v>
      </c>
      <c r="AC31" s="10">
        <v>29013</v>
      </c>
      <c r="AD31" s="10">
        <v>40442</v>
      </c>
      <c r="AE31" s="10">
        <v>95074</v>
      </c>
      <c r="AF31" s="10">
        <v>47731</v>
      </c>
      <c r="AG31" s="10">
        <v>120636</v>
      </c>
      <c r="AH31" s="10"/>
      <c r="AI31" s="10"/>
      <c r="AJ31" s="10">
        <v>136614.53</v>
      </c>
      <c r="AK31" s="10">
        <v>339763.93</v>
      </c>
      <c r="AL31" s="10">
        <v>118</v>
      </c>
      <c r="AM31" s="10">
        <v>927</v>
      </c>
      <c r="AN31" s="10"/>
      <c r="AO31" s="10"/>
      <c r="AP31" s="10">
        <v>5961</v>
      </c>
      <c r="AQ31" s="10">
        <v>23978</v>
      </c>
      <c r="AR31" s="10">
        <v>96170</v>
      </c>
      <c r="AS31" s="10">
        <v>215731</v>
      </c>
      <c r="AT31" s="10">
        <v>64113</v>
      </c>
      <c r="AU31" s="10">
        <v>154711</v>
      </c>
      <c r="AV31" s="10">
        <v>33354</v>
      </c>
      <c r="AW31" s="10">
        <v>104945</v>
      </c>
      <c r="AX31" s="10">
        <v>52310</v>
      </c>
      <c r="AY31" s="10">
        <v>139710</v>
      </c>
      <c r="AZ31" s="10"/>
      <c r="BA31" s="10"/>
      <c r="BB31" s="10">
        <v>120075</v>
      </c>
      <c r="BC31" s="10">
        <v>342106</v>
      </c>
      <c r="BD31" s="10">
        <v>269989</v>
      </c>
      <c r="BE31" s="10">
        <v>695141</v>
      </c>
      <c r="BF31" s="10">
        <v>101122</v>
      </c>
      <c r="BG31" s="10">
        <v>253730</v>
      </c>
      <c r="BH31" s="10">
        <v>158669</v>
      </c>
      <c r="BI31" s="10">
        <v>402515</v>
      </c>
      <c r="BJ31" s="10">
        <v>22963</v>
      </c>
      <c r="BK31" s="10">
        <v>116500</v>
      </c>
      <c r="BL31" s="42">
        <f t="shared" si="4"/>
        <v>2035314.58</v>
      </c>
      <c r="BM31" s="42">
        <f t="shared" si="5"/>
        <v>5186156.9399999995</v>
      </c>
    </row>
    <row r="32" spans="1:65" x14ac:dyDescent="0.25">
      <c r="A32" s="9" t="s">
        <v>271</v>
      </c>
      <c r="B32" s="9">
        <v>15382</v>
      </c>
      <c r="C32" s="9">
        <v>10358</v>
      </c>
      <c r="D32" s="9"/>
      <c r="E32" s="9"/>
      <c r="F32" s="9"/>
      <c r="G32" s="9"/>
      <c r="H32" s="9">
        <v>215499</v>
      </c>
      <c r="I32" s="9">
        <v>243785</v>
      </c>
      <c r="J32" s="9"/>
      <c r="K32" s="9"/>
      <c r="L32" s="9">
        <v>156752</v>
      </c>
      <c r="M32" s="9">
        <v>155532</v>
      </c>
      <c r="N32" s="9">
        <v>185433</v>
      </c>
      <c r="O32" s="9">
        <v>179236</v>
      </c>
      <c r="P32" s="9"/>
      <c r="Q32" s="9"/>
      <c r="R32" s="9">
        <v>8700.4</v>
      </c>
      <c r="S32" s="9">
        <v>6878.95</v>
      </c>
      <c r="T32" s="9">
        <v>73628.289999999994</v>
      </c>
      <c r="U32" s="9">
        <v>83714.81</v>
      </c>
      <c r="V32" s="9">
        <v>148822</v>
      </c>
      <c r="W32" s="9">
        <v>141270</v>
      </c>
      <c r="X32" s="9">
        <v>386309</v>
      </c>
      <c r="Y32" s="9">
        <v>446538</v>
      </c>
      <c r="Z32" s="9"/>
      <c r="AA32" s="9">
        <v>187746</v>
      </c>
      <c r="AB32" s="9">
        <v>19945</v>
      </c>
      <c r="AC32" s="9">
        <v>19312</v>
      </c>
      <c r="AD32" s="9">
        <v>56627</v>
      </c>
      <c r="AE32" s="9">
        <v>53341</v>
      </c>
      <c r="AF32" s="9">
        <v>70361</v>
      </c>
      <c r="AG32" s="9">
        <v>54428</v>
      </c>
      <c r="AH32" s="9"/>
      <c r="AI32" s="9"/>
      <c r="AJ32" s="9"/>
      <c r="AK32" s="9">
        <v>217166.04</v>
      </c>
      <c r="AL32" s="9">
        <v>1112</v>
      </c>
      <c r="AM32" s="9">
        <v>2220</v>
      </c>
      <c r="AN32" s="9"/>
      <c r="AO32" s="9"/>
      <c r="AP32" s="9">
        <v>17236</v>
      </c>
      <c r="AQ32" s="9">
        <v>13223</v>
      </c>
      <c r="AR32" s="9">
        <v>136393</v>
      </c>
      <c r="AS32" s="9">
        <v>167118</v>
      </c>
      <c r="AT32" s="9">
        <v>96399</v>
      </c>
      <c r="AU32" s="9">
        <v>95900</v>
      </c>
      <c r="AV32" s="9">
        <v>82472</v>
      </c>
      <c r="AW32" s="9">
        <v>98013</v>
      </c>
      <c r="AX32" s="9">
        <v>91029</v>
      </c>
      <c r="AY32" s="9">
        <v>84108</v>
      </c>
      <c r="AZ32" s="9"/>
      <c r="BA32" s="9"/>
      <c r="BB32" s="9">
        <v>242410</v>
      </c>
      <c r="BC32" s="9">
        <v>267373</v>
      </c>
      <c r="BD32" s="9">
        <v>461999</v>
      </c>
      <c r="BE32" s="9">
        <v>499636</v>
      </c>
      <c r="BF32" s="9">
        <v>0</v>
      </c>
      <c r="BG32" s="9">
        <v>0</v>
      </c>
      <c r="BH32" s="9"/>
      <c r="BI32" s="9"/>
      <c r="BJ32" s="9">
        <v>89425</v>
      </c>
      <c r="BK32" s="9">
        <v>62742</v>
      </c>
      <c r="BL32" s="46">
        <f t="shared" si="4"/>
        <v>2555933.69</v>
      </c>
      <c r="BM32" s="46">
        <f t="shared" si="5"/>
        <v>3089638.8</v>
      </c>
    </row>
    <row r="33" spans="1:65" x14ac:dyDescent="0.25">
      <c r="A33" s="2" t="s">
        <v>272</v>
      </c>
      <c r="B33" s="9">
        <v>18685</v>
      </c>
      <c r="C33" s="9">
        <v>18685</v>
      </c>
      <c r="D33" s="9"/>
      <c r="E33" s="9"/>
      <c r="F33" s="9"/>
      <c r="G33" s="9"/>
      <c r="H33" s="9">
        <v>225786</v>
      </c>
      <c r="I33" s="9">
        <v>225786</v>
      </c>
      <c r="J33" s="9"/>
      <c r="K33" s="9"/>
      <c r="L33" s="9">
        <v>174912</v>
      </c>
      <c r="M33" s="9">
        <v>174912</v>
      </c>
      <c r="N33" s="9">
        <v>211267</v>
      </c>
      <c r="O33" s="9">
        <v>211267</v>
      </c>
      <c r="P33" s="9"/>
      <c r="Q33" s="9"/>
      <c r="R33" s="9">
        <v>10225.56</v>
      </c>
      <c r="S33" s="9">
        <v>10225.56</v>
      </c>
      <c r="T33" s="9">
        <v>72113.179999999993</v>
      </c>
      <c r="U33" s="9">
        <v>72113.179999999993</v>
      </c>
      <c r="V33" s="9">
        <v>-175831</v>
      </c>
      <c r="W33" s="9">
        <v>-175831</v>
      </c>
      <c r="X33" s="9">
        <v>429878</v>
      </c>
      <c r="Y33" s="9">
        <v>429878</v>
      </c>
      <c r="Z33" s="9">
        <v>26648</v>
      </c>
      <c r="AA33" s="9">
        <v>202297</v>
      </c>
      <c r="AB33" s="9">
        <v>20251</v>
      </c>
      <c r="AC33" s="9">
        <v>20251</v>
      </c>
      <c r="AD33" s="9">
        <v>67519</v>
      </c>
      <c r="AE33" s="9">
        <v>67519</v>
      </c>
      <c r="AF33" s="9">
        <v>-82452</v>
      </c>
      <c r="AG33" s="9">
        <v>-82452</v>
      </c>
      <c r="AH33" s="9"/>
      <c r="AI33" s="9"/>
      <c r="AJ33" s="9">
        <v>8180.28</v>
      </c>
      <c r="AK33" s="9">
        <v>226950.95</v>
      </c>
      <c r="AL33" s="9">
        <v>-620</v>
      </c>
      <c r="AM33" s="9">
        <v>-620</v>
      </c>
      <c r="AN33" s="9"/>
      <c r="AO33" s="9"/>
      <c r="AP33" s="9">
        <v>15069</v>
      </c>
      <c r="AQ33" s="9">
        <v>15069</v>
      </c>
      <c r="AR33" s="9">
        <v>155721</v>
      </c>
      <c r="AS33" s="9">
        <v>155721</v>
      </c>
      <c r="AT33" s="9">
        <v>110636</v>
      </c>
      <c r="AU33" s="9">
        <v>110636</v>
      </c>
      <c r="AV33" s="9">
        <v>72885</v>
      </c>
      <c r="AW33" s="9">
        <v>72885</v>
      </c>
      <c r="AX33" s="9">
        <v>98814</v>
      </c>
      <c r="AY33" s="9">
        <v>98814</v>
      </c>
      <c r="AZ33" s="9"/>
      <c r="BA33" s="9"/>
      <c r="BB33" s="9">
        <v>235945</v>
      </c>
      <c r="BC33" s="9">
        <v>235945</v>
      </c>
      <c r="BD33" s="9">
        <v>490398</v>
      </c>
      <c r="BE33" s="9">
        <v>490398</v>
      </c>
      <c r="BF33" s="9">
        <v>3638</v>
      </c>
      <c r="BG33" s="9">
        <v>8285</v>
      </c>
      <c r="BH33" s="9"/>
      <c r="BI33" s="9"/>
      <c r="BJ33" s="9">
        <v>-73983</v>
      </c>
      <c r="BK33" s="9">
        <v>-73983</v>
      </c>
      <c r="BL33" s="46">
        <f t="shared" si="4"/>
        <v>2115685.02</v>
      </c>
      <c r="BM33" s="46">
        <f t="shared" si="5"/>
        <v>2514751.69</v>
      </c>
    </row>
    <row r="34" spans="1:65" s="7" customFormat="1" x14ac:dyDescent="0.25">
      <c r="A34" s="10" t="s">
        <v>192</v>
      </c>
      <c r="B34" s="10">
        <v>7126</v>
      </c>
      <c r="C34" s="10">
        <v>17553</v>
      </c>
      <c r="D34" s="10"/>
      <c r="E34" s="10"/>
      <c r="F34" s="10"/>
      <c r="G34" s="10"/>
      <c r="H34" s="10">
        <v>110665</v>
      </c>
      <c r="I34" s="10">
        <v>333426</v>
      </c>
      <c r="J34" s="10"/>
      <c r="K34" s="10"/>
      <c r="L34" s="10">
        <v>81032</v>
      </c>
      <c r="M34" s="10">
        <v>230846</v>
      </c>
      <c r="N34" s="10">
        <v>96787</v>
      </c>
      <c r="O34" s="10">
        <v>268785</v>
      </c>
      <c r="P34" s="10"/>
      <c r="Q34" s="10"/>
      <c r="R34" s="10">
        <v>4024.86</v>
      </c>
      <c r="S34" s="10">
        <v>11050.06</v>
      </c>
      <c r="T34" s="10">
        <v>38426.14</v>
      </c>
      <c r="U34" s="10">
        <v>117630.97</v>
      </c>
      <c r="V34" s="10">
        <v>77048</v>
      </c>
      <c r="W34" s="10">
        <v>212862</v>
      </c>
      <c r="X34" s="10">
        <v>214281</v>
      </c>
      <c r="Y34" s="10">
        <v>629158</v>
      </c>
      <c r="Z34" s="10">
        <v>91152</v>
      </c>
      <c r="AA34" s="10">
        <v>264429</v>
      </c>
      <c r="AB34" s="10">
        <v>10017</v>
      </c>
      <c r="AC34" s="10">
        <v>28075</v>
      </c>
      <c r="AD34" s="10">
        <v>29550</v>
      </c>
      <c r="AE34" s="10">
        <v>80897</v>
      </c>
      <c r="AF34" s="10">
        <v>35640</v>
      </c>
      <c r="AG34" s="10">
        <v>92612</v>
      </c>
      <c r="AH34" s="10"/>
      <c r="AI34" s="10"/>
      <c r="AJ34" s="10">
        <v>128434.24000000001</v>
      </c>
      <c r="AK34" s="10">
        <v>329979.01</v>
      </c>
      <c r="AL34" s="10">
        <v>610</v>
      </c>
      <c r="AM34" s="10">
        <v>2527</v>
      </c>
      <c r="AN34" s="10"/>
      <c r="AO34" s="10"/>
      <c r="AP34" s="10">
        <v>8128</v>
      </c>
      <c r="AQ34" s="10">
        <v>22132</v>
      </c>
      <c r="AR34" s="10">
        <v>76842</v>
      </c>
      <c r="AS34" s="10">
        <v>227128</v>
      </c>
      <c r="AT34" s="10">
        <v>49875</v>
      </c>
      <c r="AU34" s="10">
        <v>139975</v>
      </c>
      <c r="AV34" s="10">
        <v>42941</v>
      </c>
      <c r="AW34" s="10">
        <v>130073</v>
      </c>
      <c r="AX34" s="10">
        <v>44525</v>
      </c>
      <c r="AY34" s="10">
        <v>125004</v>
      </c>
      <c r="AZ34" s="10"/>
      <c r="BA34" s="10"/>
      <c r="BB34" s="10">
        <v>126540</v>
      </c>
      <c r="BC34" s="10">
        <v>373534</v>
      </c>
      <c r="BD34" s="10">
        <v>241590</v>
      </c>
      <c r="BE34" s="10">
        <v>704379</v>
      </c>
      <c r="BF34" s="10">
        <v>97484</v>
      </c>
      <c r="BG34" s="10">
        <v>245445</v>
      </c>
      <c r="BH34" s="10">
        <v>146950</v>
      </c>
      <c r="BI34" s="10">
        <v>382846</v>
      </c>
      <c r="BJ34" s="10">
        <v>38404</v>
      </c>
      <c r="BK34" s="10">
        <v>105259</v>
      </c>
      <c r="BL34" s="42">
        <f t="shared" si="4"/>
        <v>1798072.24</v>
      </c>
      <c r="BM34" s="42">
        <f t="shared" si="5"/>
        <v>5075605.04</v>
      </c>
    </row>
    <row r="36" spans="1:65" x14ac:dyDescent="0.25">
      <c r="A36" s="17" t="s">
        <v>186</v>
      </c>
    </row>
    <row r="37" spans="1:65" x14ac:dyDescent="0.25">
      <c r="A37" s="1" t="s">
        <v>0</v>
      </c>
      <c r="B37" s="127" t="s">
        <v>1</v>
      </c>
      <c r="C37" s="128"/>
      <c r="D37" s="127" t="s">
        <v>232</v>
      </c>
      <c r="E37" s="128"/>
      <c r="F37" s="127" t="s">
        <v>2</v>
      </c>
      <c r="G37" s="128"/>
      <c r="H37" s="127" t="s">
        <v>3</v>
      </c>
      <c r="I37" s="128"/>
      <c r="J37" s="127" t="s">
        <v>241</v>
      </c>
      <c r="K37" s="128"/>
      <c r="L37" s="127" t="s">
        <v>233</v>
      </c>
      <c r="M37" s="128"/>
      <c r="N37" s="127" t="s">
        <v>244</v>
      </c>
      <c r="O37" s="128"/>
      <c r="P37" s="127" t="s">
        <v>5</v>
      </c>
      <c r="Q37" s="128"/>
      <c r="R37" s="127" t="s">
        <v>4</v>
      </c>
      <c r="S37" s="128"/>
      <c r="T37" s="127" t="s">
        <v>6</v>
      </c>
      <c r="U37" s="128"/>
      <c r="V37" s="127" t="s">
        <v>7</v>
      </c>
      <c r="W37" s="128"/>
      <c r="X37" s="127" t="s">
        <v>8</v>
      </c>
      <c r="Y37" s="128"/>
      <c r="Z37" s="127" t="s">
        <v>9</v>
      </c>
      <c r="AA37" s="128"/>
      <c r="AB37" s="127" t="s">
        <v>240</v>
      </c>
      <c r="AC37" s="128"/>
      <c r="AD37" s="127" t="s">
        <v>10</v>
      </c>
      <c r="AE37" s="128"/>
      <c r="AF37" s="127" t="s">
        <v>11</v>
      </c>
      <c r="AG37" s="128"/>
      <c r="AH37" s="127" t="s">
        <v>234</v>
      </c>
      <c r="AI37" s="128"/>
      <c r="AJ37" s="127" t="s">
        <v>12</v>
      </c>
      <c r="AK37" s="128"/>
      <c r="AL37" s="127" t="s">
        <v>235</v>
      </c>
      <c r="AM37" s="128"/>
      <c r="AN37" s="127" t="s">
        <v>293</v>
      </c>
      <c r="AO37" s="128"/>
      <c r="AP37" s="127" t="s">
        <v>236</v>
      </c>
      <c r="AQ37" s="128"/>
      <c r="AR37" s="127" t="s">
        <v>239</v>
      </c>
      <c r="AS37" s="128"/>
      <c r="AT37" s="127" t="s">
        <v>13</v>
      </c>
      <c r="AU37" s="128"/>
      <c r="AV37" s="127" t="s">
        <v>14</v>
      </c>
      <c r="AW37" s="128"/>
      <c r="AX37" s="127" t="s">
        <v>15</v>
      </c>
      <c r="AY37" s="128"/>
      <c r="AZ37" s="127" t="s">
        <v>16</v>
      </c>
      <c r="BA37" s="128"/>
      <c r="BB37" s="127" t="s">
        <v>17</v>
      </c>
      <c r="BC37" s="128"/>
      <c r="BD37" s="127" t="s">
        <v>237</v>
      </c>
      <c r="BE37" s="128"/>
      <c r="BF37" s="127" t="s">
        <v>238</v>
      </c>
      <c r="BG37" s="128"/>
      <c r="BH37" s="127" t="s">
        <v>18</v>
      </c>
      <c r="BI37" s="128"/>
      <c r="BJ37" s="127" t="s">
        <v>19</v>
      </c>
      <c r="BK37" s="128"/>
      <c r="BL37" s="129" t="s">
        <v>20</v>
      </c>
      <c r="BM37" s="130"/>
    </row>
    <row r="38" spans="1:65" ht="30" x14ac:dyDescent="0.25">
      <c r="A38" s="1"/>
      <c r="B38" s="32" t="s">
        <v>299</v>
      </c>
      <c r="C38" s="33" t="s">
        <v>298</v>
      </c>
      <c r="D38" s="32" t="s">
        <v>299</v>
      </c>
      <c r="E38" s="33" t="s">
        <v>298</v>
      </c>
      <c r="F38" s="32" t="s">
        <v>299</v>
      </c>
      <c r="G38" s="33" t="s">
        <v>298</v>
      </c>
      <c r="H38" s="32" t="s">
        <v>299</v>
      </c>
      <c r="I38" s="33" t="s">
        <v>298</v>
      </c>
      <c r="J38" s="32" t="s">
        <v>299</v>
      </c>
      <c r="K38" s="33" t="s">
        <v>298</v>
      </c>
      <c r="L38" s="32" t="s">
        <v>299</v>
      </c>
      <c r="M38" s="33" t="s">
        <v>298</v>
      </c>
      <c r="N38" s="32" t="s">
        <v>299</v>
      </c>
      <c r="O38" s="33" t="s">
        <v>298</v>
      </c>
      <c r="P38" s="32" t="s">
        <v>299</v>
      </c>
      <c r="Q38" s="33" t="s">
        <v>298</v>
      </c>
      <c r="R38" s="32" t="s">
        <v>299</v>
      </c>
      <c r="S38" s="33" t="s">
        <v>298</v>
      </c>
      <c r="T38" s="32" t="s">
        <v>299</v>
      </c>
      <c r="U38" s="33" t="s">
        <v>298</v>
      </c>
      <c r="V38" s="32" t="s">
        <v>299</v>
      </c>
      <c r="W38" s="33" t="s">
        <v>298</v>
      </c>
      <c r="X38" s="32" t="s">
        <v>299</v>
      </c>
      <c r="Y38" s="33" t="s">
        <v>298</v>
      </c>
      <c r="Z38" s="32" t="s">
        <v>299</v>
      </c>
      <c r="AA38" s="33" t="s">
        <v>298</v>
      </c>
      <c r="AB38" s="32" t="s">
        <v>299</v>
      </c>
      <c r="AC38" s="33" t="s">
        <v>298</v>
      </c>
      <c r="AD38" s="32" t="s">
        <v>299</v>
      </c>
      <c r="AE38" s="33" t="s">
        <v>298</v>
      </c>
      <c r="AF38" s="32" t="s">
        <v>299</v>
      </c>
      <c r="AG38" s="33" t="s">
        <v>298</v>
      </c>
      <c r="AH38" s="32" t="s">
        <v>299</v>
      </c>
      <c r="AI38" s="33" t="s">
        <v>298</v>
      </c>
      <c r="AJ38" s="32" t="s">
        <v>299</v>
      </c>
      <c r="AK38" s="33" t="s">
        <v>298</v>
      </c>
      <c r="AL38" s="32" t="s">
        <v>299</v>
      </c>
      <c r="AM38" s="33" t="s">
        <v>298</v>
      </c>
      <c r="AN38" s="32" t="s">
        <v>299</v>
      </c>
      <c r="AO38" s="33" t="s">
        <v>298</v>
      </c>
      <c r="AP38" s="32" t="s">
        <v>299</v>
      </c>
      <c r="AQ38" s="33" t="s">
        <v>298</v>
      </c>
      <c r="AR38" s="32" t="s">
        <v>299</v>
      </c>
      <c r="AS38" s="33" t="s">
        <v>298</v>
      </c>
      <c r="AT38" s="32" t="s">
        <v>299</v>
      </c>
      <c r="AU38" s="33" t="s">
        <v>298</v>
      </c>
      <c r="AV38" s="32" t="s">
        <v>299</v>
      </c>
      <c r="AW38" s="33" t="s">
        <v>298</v>
      </c>
      <c r="AX38" s="32" t="s">
        <v>299</v>
      </c>
      <c r="AY38" s="33" t="s">
        <v>298</v>
      </c>
      <c r="AZ38" s="32" t="s">
        <v>299</v>
      </c>
      <c r="BA38" s="33" t="s">
        <v>298</v>
      </c>
      <c r="BB38" s="32" t="s">
        <v>299</v>
      </c>
      <c r="BC38" s="33" t="s">
        <v>298</v>
      </c>
      <c r="BD38" s="32" t="s">
        <v>299</v>
      </c>
      <c r="BE38" s="33" t="s">
        <v>298</v>
      </c>
      <c r="BF38" s="32" t="s">
        <v>299</v>
      </c>
      <c r="BG38" s="33" t="s">
        <v>298</v>
      </c>
      <c r="BH38" s="32" t="s">
        <v>299</v>
      </c>
      <c r="BI38" s="33" t="s">
        <v>298</v>
      </c>
      <c r="BJ38" s="32" t="s">
        <v>299</v>
      </c>
      <c r="BK38" s="33" t="s">
        <v>298</v>
      </c>
      <c r="BL38" s="32" t="s">
        <v>299</v>
      </c>
      <c r="BM38" s="33" t="s">
        <v>298</v>
      </c>
    </row>
    <row r="39" spans="1:65" x14ac:dyDescent="0.25">
      <c r="A39" s="9" t="s">
        <v>267</v>
      </c>
      <c r="B39" s="9">
        <v>14471</v>
      </c>
      <c r="C39" s="9">
        <v>49202</v>
      </c>
      <c r="D39" s="9">
        <v>52953</v>
      </c>
      <c r="E39" s="9">
        <v>168418</v>
      </c>
      <c r="F39" s="9"/>
      <c r="G39" s="9"/>
      <c r="H39" s="9">
        <v>63851</v>
      </c>
      <c r="I39" s="9">
        <v>227228</v>
      </c>
      <c r="J39" s="9">
        <v>113968</v>
      </c>
      <c r="K39" s="9">
        <v>328420</v>
      </c>
      <c r="L39" s="9">
        <v>14230</v>
      </c>
      <c r="M39" s="9">
        <v>42547</v>
      </c>
      <c r="N39" s="9">
        <v>19286</v>
      </c>
      <c r="O39" s="9">
        <v>52646</v>
      </c>
      <c r="P39" s="9"/>
      <c r="Q39" s="9"/>
      <c r="R39" s="9">
        <v>3512.84</v>
      </c>
      <c r="S39" s="9">
        <v>10508.55</v>
      </c>
      <c r="T39" s="9">
        <v>14624.04</v>
      </c>
      <c r="U39" s="9">
        <v>43282.59</v>
      </c>
      <c r="V39" s="9">
        <v>111687</v>
      </c>
      <c r="W39" s="9">
        <v>331606</v>
      </c>
      <c r="X39" s="9">
        <v>110545</v>
      </c>
      <c r="Y39" s="9">
        <v>353265</v>
      </c>
      <c r="Z39" s="9">
        <v>32088</v>
      </c>
      <c r="AA39" s="9">
        <v>158054</v>
      </c>
      <c r="AB39" s="9">
        <v>10505</v>
      </c>
      <c r="AC39" s="9">
        <v>28129</v>
      </c>
      <c r="AD39" s="9">
        <v>4991</v>
      </c>
      <c r="AE39" s="9">
        <v>21749</v>
      </c>
      <c r="AF39" s="9">
        <v>6600</v>
      </c>
      <c r="AG39" s="9">
        <v>15821</v>
      </c>
      <c r="AH39" s="9">
        <v>33433.449999999997</v>
      </c>
      <c r="AI39" s="9">
        <v>91545.67</v>
      </c>
      <c r="AJ39" s="9">
        <v>162073.25</v>
      </c>
      <c r="AK39" s="9">
        <v>567684.35</v>
      </c>
      <c r="AL39" s="9">
        <v>1096</v>
      </c>
      <c r="AM39" s="9">
        <v>3066</v>
      </c>
      <c r="AN39" s="9">
        <v>97113</v>
      </c>
      <c r="AO39" s="9">
        <v>267977</v>
      </c>
      <c r="AP39" s="9">
        <v>437</v>
      </c>
      <c r="AQ39" s="9">
        <v>1029</v>
      </c>
      <c r="AR39" s="9">
        <v>26508</v>
      </c>
      <c r="AS39" s="9">
        <v>101504</v>
      </c>
      <c r="AT39" s="9">
        <v>7999</v>
      </c>
      <c r="AU39" s="9">
        <v>31117</v>
      </c>
      <c r="AV39" s="9">
        <v>43183</v>
      </c>
      <c r="AW39" s="9">
        <v>132521</v>
      </c>
      <c r="AX39" s="9">
        <v>97</v>
      </c>
      <c r="AY39" s="9">
        <v>190</v>
      </c>
      <c r="AZ39" s="9">
        <v>304719</v>
      </c>
      <c r="BA39" s="9">
        <v>861845</v>
      </c>
      <c r="BB39" s="9">
        <v>48016</v>
      </c>
      <c r="BC39" s="9">
        <v>143933</v>
      </c>
      <c r="BD39" s="9">
        <v>364773</v>
      </c>
      <c r="BE39" s="9">
        <v>1231288</v>
      </c>
      <c r="BF39" s="9">
        <v>176405</v>
      </c>
      <c r="BG39" s="9">
        <v>621049</v>
      </c>
      <c r="BH39" s="9">
        <v>119110</v>
      </c>
      <c r="BI39" s="9">
        <v>497052</v>
      </c>
      <c r="BJ39" s="9">
        <v>4249</v>
      </c>
      <c r="BK39" s="9">
        <v>22458</v>
      </c>
      <c r="BL39" s="46">
        <f t="shared" ref="BL39:BL45" si="6">SUM(B39+D39+F39+H39+J39+L39+N39+P39+R39+T39+V39+X39+Z39+AB39+AD39+AF39+AH39+AJ39+AL39+AN39+AP39+AR39+AT39+AV39+AX39+AZ39+BB39+BD39+BF39+BH39+BJ39)</f>
        <v>1962523.58</v>
      </c>
      <c r="BM39" s="46">
        <f t="shared" ref="BM39:BM45" si="7">SUM(C39+E39+G39+I39+K39+M39+O39+Q39+S39+U39+W39+Y39+AA39+AC39+AE39+AG39+AI39+AK39+AM39+AO39+AQ39+AS39+AU39+AW39+AY39+BA39+BC39+BE39+BG39+BI39+BK39)</f>
        <v>6405135.1600000001</v>
      </c>
    </row>
    <row r="40" spans="1:65" x14ac:dyDescent="0.25">
      <c r="A40" s="9" t="s">
        <v>268</v>
      </c>
      <c r="B40" s="9"/>
      <c r="C40" s="9"/>
      <c r="D40" s="9"/>
      <c r="E40" s="9"/>
      <c r="F40" s="9"/>
      <c r="G40" s="9"/>
      <c r="H40" s="9"/>
      <c r="I40" s="9"/>
      <c r="J40" s="9">
        <v>1719</v>
      </c>
      <c r="K40" s="9">
        <v>7825</v>
      </c>
      <c r="L40" s="9"/>
      <c r="M40" s="9"/>
      <c r="N40" s="9"/>
      <c r="O40" s="9">
        <v>2860</v>
      </c>
      <c r="P40" s="9"/>
      <c r="Q40" s="9"/>
      <c r="R40" s="9">
        <v>111.43</v>
      </c>
      <c r="S40" s="9">
        <v>337.51</v>
      </c>
      <c r="T40" s="9"/>
      <c r="U40" s="9"/>
      <c r="V40" s="9"/>
      <c r="W40" s="9"/>
      <c r="X40" s="9">
        <v>4758</v>
      </c>
      <c r="Y40" s="9">
        <v>13813</v>
      </c>
      <c r="Z40" s="9"/>
      <c r="AA40" s="9">
        <v>1106</v>
      </c>
      <c r="AB40" s="9"/>
      <c r="AC40" s="9"/>
      <c r="AD40" s="9"/>
      <c r="AE40" s="9"/>
      <c r="AF40" s="9"/>
      <c r="AG40" s="9"/>
      <c r="AH40" s="9">
        <v>0</v>
      </c>
      <c r="AI40" s="9">
        <v>0</v>
      </c>
      <c r="AJ40" s="9">
        <v>39.49</v>
      </c>
      <c r="AK40" s="9">
        <v>3957.57</v>
      </c>
      <c r="AL40" s="9"/>
      <c r="AM40" s="9"/>
      <c r="AN40" s="9"/>
      <c r="AO40" s="9"/>
      <c r="AP40" s="9">
        <v>0</v>
      </c>
      <c r="AQ40" s="9"/>
      <c r="AR40" s="9"/>
      <c r="AS40" s="9"/>
      <c r="AT40" s="9"/>
      <c r="AU40" s="9"/>
      <c r="AV40" s="9"/>
      <c r="AW40" s="9">
        <v>1686</v>
      </c>
      <c r="AX40" s="9"/>
      <c r="AY40" s="9"/>
      <c r="AZ40" s="9"/>
      <c r="BA40" s="9"/>
      <c r="BB40" s="9">
        <v>-18</v>
      </c>
      <c r="BC40" s="9">
        <v>288</v>
      </c>
      <c r="BD40" s="9">
        <v>2279</v>
      </c>
      <c r="BE40" s="9">
        <v>5000</v>
      </c>
      <c r="BF40" s="9">
        <v>0</v>
      </c>
      <c r="BG40" s="9">
        <v>10574</v>
      </c>
      <c r="BH40" s="9"/>
      <c r="BI40" s="9"/>
      <c r="BJ40" s="9"/>
      <c r="BK40" s="9">
        <v>4892</v>
      </c>
      <c r="BL40" s="46">
        <f t="shared" si="6"/>
        <v>8888.92</v>
      </c>
      <c r="BM40" s="46">
        <f t="shared" si="7"/>
        <v>52339.08</v>
      </c>
    </row>
    <row r="41" spans="1:65" x14ac:dyDescent="0.25">
      <c r="A41" s="9" t="s">
        <v>269</v>
      </c>
      <c r="B41" s="9">
        <v>579</v>
      </c>
      <c r="C41" s="9">
        <v>1982</v>
      </c>
      <c r="D41" s="9">
        <v>9849</v>
      </c>
      <c r="E41" s="9">
        <v>31191</v>
      </c>
      <c r="F41" s="9"/>
      <c r="G41" s="9"/>
      <c r="H41" s="9">
        <v>-9163</v>
      </c>
      <c r="I41" s="9">
        <v>-62994</v>
      </c>
      <c r="J41" s="9">
        <v>14560</v>
      </c>
      <c r="K41" s="9">
        <v>44681</v>
      </c>
      <c r="L41" s="9">
        <v>3115</v>
      </c>
      <c r="M41" s="9">
        <v>9480</v>
      </c>
      <c r="N41" s="9">
        <v>772</v>
      </c>
      <c r="O41" s="9">
        <v>2137</v>
      </c>
      <c r="P41" s="9"/>
      <c r="Q41" s="9"/>
      <c r="R41" s="9">
        <v>470.16</v>
      </c>
      <c r="S41" s="9">
        <v>747.11</v>
      </c>
      <c r="T41" s="9">
        <v>8082.67</v>
      </c>
      <c r="U41" s="9">
        <v>14367.22</v>
      </c>
      <c r="V41" s="9">
        <v>-38762</v>
      </c>
      <c r="W41" s="9">
        <v>-111065</v>
      </c>
      <c r="X41" s="9">
        <v>20888</v>
      </c>
      <c r="Y41" s="9">
        <v>60655</v>
      </c>
      <c r="Z41" s="9">
        <v>1320</v>
      </c>
      <c r="AA41" s="9">
        <v>22088</v>
      </c>
      <c r="AB41" s="9">
        <v>3100</v>
      </c>
      <c r="AC41" s="9">
        <v>7068</v>
      </c>
      <c r="AD41" s="9">
        <v>173</v>
      </c>
      <c r="AE41" s="9">
        <v>1036</v>
      </c>
      <c r="AF41" s="9">
        <v>-265</v>
      </c>
      <c r="AG41" s="9">
        <v>-676</v>
      </c>
      <c r="AH41" s="9">
        <v>1519.09</v>
      </c>
      <c r="AI41" s="9">
        <v>3913.69</v>
      </c>
      <c r="AJ41" s="9">
        <v>43405.95</v>
      </c>
      <c r="AK41" s="9">
        <v>141192.87</v>
      </c>
      <c r="AL41" s="9">
        <v>-46</v>
      </c>
      <c r="AM41" s="9">
        <v>-129</v>
      </c>
      <c r="AN41" s="9">
        <v>20805</v>
      </c>
      <c r="AO41" s="9">
        <v>59573</v>
      </c>
      <c r="AP41" s="9">
        <v>17</v>
      </c>
      <c r="AQ41" s="9">
        <v>41</v>
      </c>
      <c r="AR41" s="9">
        <v>4296</v>
      </c>
      <c r="AS41" s="9">
        <v>13124</v>
      </c>
      <c r="AT41" s="9">
        <v>1039</v>
      </c>
      <c r="AU41" s="9">
        <v>3821</v>
      </c>
      <c r="AV41" s="9">
        <v>1806</v>
      </c>
      <c r="AW41" s="9">
        <v>7222</v>
      </c>
      <c r="AX41" s="9">
        <v>39</v>
      </c>
      <c r="AY41" s="9">
        <v>73</v>
      </c>
      <c r="AZ41" s="9">
        <v>14165</v>
      </c>
      <c r="BA41" s="9">
        <v>39419</v>
      </c>
      <c r="BB41" s="9">
        <v>6224</v>
      </c>
      <c r="BC41" s="9">
        <v>18800</v>
      </c>
      <c r="BD41" s="9">
        <v>44028</v>
      </c>
      <c r="BE41" s="9">
        <v>137816</v>
      </c>
      <c r="BF41" s="9">
        <v>6471</v>
      </c>
      <c r="BG41" s="9">
        <v>21274</v>
      </c>
      <c r="BH41" s="9">
        <v>4738</v>
      </c>
      <c r="BI41" s="9">
        <v>20174</v>
      </c>
      <c r="BJ41" s="9">
        <v>268</v>
      </c>
      <c r="BK41" s="9">
        <v>1149</v>
      </c>
      <c r="BL41" s="46">
        <f t="shared" si="6"/>
        <v>163493.87</v>
      </c>
      <c r="BM41" s="46">
        <f t="shared" si="7"/>
        <v>488160.89</v>
      </c>
    </row>
    <row r="42" spans="1:65" s="7" customFormat="1" x14ac:dyDescent="0.25">
      <c r="A42" s="10" t="s">
        <v>270</v>
      </c>
      <c r="B42" s="10">
        <v>13892</v>
      </c>
      <c r="C42" s="10">
        <v>47220</v>
      </c>
      <c r="D42" s="10">
        <v>43104</v>
      </c>
      <c r="E42" s="10">
        <v>137227</v>
      </c>
      <c r="F42" s="10"/>
      <c r="G42" s="10"/>
      <c r="H42" s="10">
        <v>54688</v>
      </c>
      <c r="I42" s="10">
        <v>164234</v>
      </c>
      <c r="J42" s="10">
        <v>101127</v>
      </c>
      <c r="K42" s="10">
        <v>291564</v>
      </c>
      <c r="L42" s="10">
        <v>11116</v>
      </c>
      <c r="M42" s="10">
        <v>33067</v>
      </c>
      <c r="N42" s="10">
        <v>18514</v>
      </c>
      <c r="O42" s="10">
        <v>53369</v>
      </c>
      <c r="P42" s="10"/>
      <c r="Q42" s="10"/>
      <c r="R42" s="10">
        <v>3154.11</v>
      </c>
      <c r="S42" s="10">
        <v>10098.950000000001</v>
      </c>
      <c r="T42" s="10">
        <v>6541.37</v>
      </c>
      <c r="U42" s="10">
        <v>28915.360000000001</v>
      </c>
      <c r="V42" s="10">
        <v>72925</v>
      </c>
      <c r="W42" s="10">
        <v>220541</v>
      </c>
      <c r="X42" s="10">
        <v>94415</v>
      </c>
      <c r="Y42" s="10">
        <v>306423</v>
      </c>
      <c r="Z42" s="10">
        <v>30768</v>
      </c>
      <c r="AA42" s="10">
        <v>137072</v>
      </c>
      <c r="AB42" s="10">
        <v>7405</v>
      </c>
      <c r="AC42" s="10">
        <v>21061</v>
      </c>
      <c r="AD42" s="10">
        <v>4818</v>
      </c>
      <c r="AE42" s="10">
        <v>20713</v>
      </c>
      <c r="AF42" s="10">
        <v>6336</v>
      </c>
      <c r="AG42" s="10">
        <v>15145</v>
      </c>
      <c r="AH42" s="10">
        <v>31914.36</v>
      </c>
      <c r="AI42" s="10">
        <v>87631.98</v>
      </c>
      <c r="AJ42" s="10">
        <v>118706.79</v>
      </c>
      <c r="AK42" s="10">
        <v>430449.05</v>
      </c>
      <c r="AL42" s="10">
        <v>1050</v>
      </c>
      <c r="AM42" s="10">
        <v>2937</v>
      </c>
      <c r="AN42" s="10">
        <v>76307</v>
      </c>
      <c r="AO42" s="10">
        <v>208403</v>
      </c>
      <c r="AP42" s="10">
        <v>420</v>
      </c>
      <c r="AQ42" s="10">
        <v>987</v>
      </c>
      <c r="AR42" s="10">
        <v>22212</v>
      </c>
      <c r="AS42" s="10">
        <v>88380</v>
      </c>
      <c r="AT42" s="10">
        <v>6960</v>
      </c>
      <c r="AU42" s="10">
        <v>27296</v>
      </c>
      <c r="AV42" s="10">
        <v>41376</v>
      </c>
      <c r="AW42" s="10">
        <v>126985</v>
      </c>
      <c r="AX42" s="10">
        <v>58</v>
      </c>
      <c r="AY42" s="10">
        <v>117</v>
      </c>
      <c r="AZ42" s="10">
        <v>290554</v>
      </c>
      <c r="BA42" s="10">
        <v>822426</v>
      </c>
      <c r="BB42" s="10">
        <v>41773</v>
      </c>
      <c r="BC42" s="10">
        <v>125421</v>
      </c>
      <c r="BD42" s="10">
        <v>323025</v>
      </c>
      <c r="BE42" s="10">
        <v>1098472</v>
      </c>
      <c r="BF42" s="10">
        <v>169934</v>
      </c>
      <c r="BG42" s="10">
        <v>610348</v>
      </c>
      <c r="BH42" s="10">
        <v>114372</v>
      </c>
      <c r="BI42" s="10">
        <v>476878</v>
      </c>
      <c r="BJ42" s="10">
        <v>3981</v>
      </c>
      <c r="BK42" s="10">
        <v>26201</v>
      </c>
      <c r="BL42" s="42">
        <f t="shared" si="6"/>
        <v>1711446.63</v>
      </c>
      <c r="BM42" s="42">
        <f t="shared" si="7"/>
        <v>5619582.3399999999</v>
      </c>
    </row>
    <row r="43" spans="1:65" x14ac:dyDescent="0.25">
      <c r="A43" s="9" t="s">
        <v>271</v>
      </c>
      <c r="B43" s="9">
        <v>24348</v>
      </c>
      <c r="C43" s="9">
        <v>13974</v>
      </c>
      <c r="D43" s="9">
        <v>79395</v>
      </c>
      <c r="E43" s="9">
        <v>58838</v>
      </c>
      <c r="F43" s="9"/>
      <c r="G43" s="9"/>
      <c r="H43" s="9">
        <v>101084</v>
      </c>
      <c r="I43" s="9">
        <v>88152</v>
      </c>
      <c r="J43" s="9">
        <v>167368</v>
      </c>
      <c r="K43" s="9">
        <v>131778</v>
      </c>
      <c r="L43" s="9">
        <v>25059</v>
      </c>
      <c r="M43" s="9">
        <v>19529</v>
      </c>
      <c r="N43" s="9">
        <v>24455</v>
      </c>
      <c r="O43" s="9">
        <v>14122</v>
      </c>
      <c r="P43" s="9"/>
      <c r="Q43" s="9"/>
      <c r="R43" s="9">
        <v>5616.31</v>
      </c>
      <c r="S43" s="9">
        <v>4380.1899999999996</v>
      </c>
      <c r="T43" s="9">
        <v>21136.7</v>
      </c>
      <c r="U43" s="9">
        <v>17991.14</v>
      </c>
      <c r="V43" s="9">
        <v>188408</v>
      </c>
      <c r="W43" s="9">
        <v>188095</v>
      </c>
      <c r="X43" s="9">
        <v>227661</v>
      </c>
      <c r="Y43" s="9">
        <v>192161</v>
      </c>
      <c r="Z43" s="9"/>
      <c r="AA43" s="9">
        <v>53656</v>
      </c>
      <c r="AB43" s="9">
        <v>18850</v>
      </c>
      <c r="AC43" s="9">
        <v>15933</v>
      </c>
      <c r="AD43" s="9">
        <v>15415</v>
      </c>
      <c r="AE43" s="9">
        <v>12598</v>
      </c>
      <c r="AF43" s="9">
        <v>9057</v>
      </c>
      <c r="AG43" s="9">
        <v>6156</v>
      </c>
      <c r="AH43" s="9">
        <v>53264.160000000003</v>
      </c>
      <c r="AI43" s="9">
        <v>46039.31</v>
      </c>
      <c r="AJ43" s="9"/>
      <c r="AK43" s="9">
        <v>267985.67</v>
      </c>
      <c r="AL43" s="9">
        <v>3512</v>
      </c>
      <c r="AM43" s="9">
        <v>4285</v>
      </c>
      <c r="AN43" s="9">
        <v>124750</v>
      </c>
      <c r="AO43" s="9">
        <v>105529</v>
      </c>
      <c r="AP43" s="9">
        <v>463</v>
      </c>
      <c r="AQ43" s="9">
        <v>214</v>
      </c>
      <c r="AR43" s="9">
        <v>50396</v>
      </c>
      <c r="AS43" s="9">
        <v>31316</v>
      </c>
      <c r="AT43" s="9">
        <v>18427</v>
      </c>
      <c r="AU43" s="9">
        <v>15891</v>
      </c>
      <c r="AV43" s="9">
        <v>97785</v>
      </c>
      <c r="AW43" s="9">
        <v>68416</v>
      </c>
      <c r="AX43" s="9">
        <v>155</v>
      </c>
      <c r="AY43" s="9">
        <v>393</v>
      </c>
      <c r="AZ43" s="9">
        <v>597336</v>
      </c>
      <c r="BA43" s="9">
        <v>607136</v>
      </c>
      <c r="BB43" s="9">
        <v>91491</v>
      </c>
      <c r="BC43" s="9">
        <v>82180</v>
      </c>
      <c r="BD43" s="9">
        <v>548251</v>
      </c>
      <c r="BE43" s="9">
        <v>494767</v>
      </c>
      <c r="BF43" s="9">
        <v>0</v>
      </c>
      <c r="BG43" s="9">
        <v>0</v>
      </c>
      <c r="BH43" s="9"/>
      <c r="BI43" s="9"/>
      <c r="BJ43" s="9">
        <v>18807</v>
      </c>
      <c r="BK43" s="9">
        <v>8363</v>
      </c>
      <c r="BL43" s="46">
        <f t="shared" si="6"/>
        <v>2512490.17</v>
      </c>
      <c r="BM43" s="46">
        <f t="shared" si="7"/>
        <v>2549878.31</v>
      </c>
    </row>
    <row r="44" spans="1:65" x14ac:dyDescent="0.25">
      <c r="A44" s="2" t="s">
        <v>272</v>
      </c>
      <c r="B44" s="9">
        <v>25025</v>
      </c>
      <c r="C44" s="9">
        <v>25025</v>
      </c>
      <c r="D44" s="9">
        <v>86469</v>
      </c>
      <c r="E44" s="9">
        <v>86469</v>
      </c>
      <c r="F44" s="9"/>
      <c r="G44" s="9"/>
      <c r="H44" s="9">
        <v>104775</v>
      </c>
      <c r="I44" s="9">
        <v>104775</v>
      </c>
      <c r="J44" s="9">
        <v>184343</v>
      </c>
      <c r="K44" s="9">
        <v>184343</v>
      </c>
      <c r="L44" s="9">
        <v>27083</v>
      </c>
      <c r="M44" s="9">
        <v>27083</v>
      </c>
      <c r="N44" s="9">
        <v>26988</v>
      </c>
      <c r="O44" s="9">
        <v>26988</v>
      </c>
      <c r="P44" s="9"/>
      <c r="Q44" s="9"/>
      <c r="R44" s="9">
        <v>6129.33</v>
      </c>
      <c r="S44" s="9">
        <v>6129.33</v>
      </c>
      <c r="T44" s="9">
        <v>16925.5</v>
      </c>
      <c r="U44" s="9">
        <v>16925.5</v>
      </c>
      <c r="V44" s="9">
        <v>-183501</v>
      </c>
      <c r="W44" s="9">
        <v>-183501</v>
      </c>
      <c r="X44" s="9">
        <v>225885</v>
      </c>
      <c r="Y44" s="9">
        <v>225885</v>
      </c>
      <c r="Z44" s="9">
        <v>-15375</v>
      </c>
      <c r="AA44" s="9">
        <v>66594</v>
      </c>
      <c r="AB44" s="9">
        <v>19981</v>
      </c>
      <c r="AC44" s="9">
        <v>19981</v>
      </c>
      <c r="AD44" s="9">
        <v>13081</v>
      </c>
      <c r="AE44" s="9">
        <v>13081</v>
      </c>
      <c r="AF44" s="9">
        <v>-11455</v>
      </c>
      <c r="AG44" s="9">
        <v>-11455</v>
      </c>
      <c r="AH44" s="9">
        <v>57647.519999999997</v>
      </c>
      <c r="AI44" s="9">
        <v>57647.519999999997</v>
      </c>
      <c r="AJ44" s="9">
        <v>-4697.04</v>
      </c>
      <c r="AK44" s="9">
        <v>253544.48</v>
      </c>
      <c r="AL44" s="9">
        <v>-3153</v>
      </c>
      <c r="AM44" s="9">
        <v>-3153</v>
      </c>
      <c r="AN44" s="9">
        <v>137583</v>
      </c>
      <c r="AO44" s="9">
        <v>137583</v>
      </c>
      <c r="AP44" s="9">
        <v>627</v>
      </c>
      <c r="AQ44" s="9">
        <v>627</v>
      </c>
      <c r="AR44" s="9">
        <v>48994</v>
      </c>
      <c r="AS44" s="9">
        <v>48994</v>
      </c>
      <c r="AT44" s="9">
        <v>16293</v>
      </c>
      <c r="AU44" s="9">
        <v>16293</v>
      </c>
      <c r="AV44" s="9">
        <v>102305</v>
      </c>
      <c r="AW44" s="9">
        <v>102305</v>
      </c>
      <c r="AX44" s="9">
        <v>151</v>
      </c>
      <c r="AY44" s="9">
        <v>151</v>
      </c>
      <c r="AZ44" s="9">
        <v>604575</v>
      </c>
      <c r="BA44" s="9">
        <v>604575</v>
      </c>
      <c r="BB44" s="9">
        <v>95086</v>
      </c>
      <c r="BC44" s="9">
        <v>95086</v>
      </c>
      <c r="BD44" s="9">
        <v>497734</v>
      </c>
      <c r="BE44" s="9">
        <v>497734</v>
      </c>
      <c r="BF44" s="9">
        <v>12364</v>
      </c>
      <c r="BG44" s="9">
        <v>59869</v>
      </c>
      <c r="BH44" s="9"/>
      <c r="BI44" s="9"/>
      <c r="BJ44" s="9">
        <v>-15309</v>
      </c>
      <c r="BK44" s="9">
        <v>-15309</v>
      </c>
      <c r="BL44" s="46">
        <f t="shared" si="6"/>
        <v>2076554.31</v>
      </c>
      <c r="BM44" s="46">
        <f t="shared" si="7"/>
        <v>2464269.83</v>
      </c>
    </row>
    <row r="45" spans="1:65" s="7" customFormat="1" x14ac:dyDescent="0.25">
      <c r="A45" s="10" t="s">
        <v>192</v>
      </c>
      <c r="B45" s="10">
        <v>13215</v>
      </c>
      <c r="C45" s="10">
        <v>36169</v>
      </c>
      <c r="D45" s="10">
        <v>36030</v>
      </c>
      <c r="E45" s="10">
        <v>109596</v>
      </c>
      <c r="F45" s="10"/>
      <c r="G45" s="10"/>
      <c r="H45" s="10">
        <v>50998</v>
      </c>
      <c r="I45" s="10">
        <v>147611</v>
      </c>
      <c r="J45" s="10">
        <v>84152</v>
      </c>
      <c r="K45" s="10">
        <v>238999</v>
      </c>
      <c r="L45" s="10">
        <v>9092</v>
      </c>
      <c r="M45" s="10">
        <v>25513</v>
      </c>
      <c r="N45" s="10">
        <v>15981</v>
      </c>
      <c r="O45" s="10">
        <v>40503</v>
      </c>
      <c r="P45" s="10"/>
      <c r="Q45" s="10"/>
      <c r="R45" s="10">
        <v>2641.09</v>
      </c>
      <c r="S45" s="10">
        <v>8349.81</v>
      </c>
      <c r="T45" s="10">
        <v>10752.57</v>
      </c>
      <c r="U45" s="10">
        <v>29981.01</v>
      </c>
      <c r="V45" s="10">
        <v>77832</v>
      </c>
      <c r="W45" s="10">
        <v>225135</v>
      </c>
      <c r="X45" s="10">
        <v>96191</v>
      </c>
      <c r="Y45" s="10">
        <v>272699</v>
      </c>
      <c r="Z45" s="10">
        <v>46143</v>
      </c>
      <c r="AA45" s="10">
        <v>124134</v>
      </c>
      <c r="AB45" s="10">
        <v>6275</v>
      </c>
      <c r="AC45" s="10">
        <v>17013</v>
      </c>
      <c r="AD45" s="10">
        <v>7153</v>
      </c>
      <c r="AE45" s="10">
        <v>20230</v>
      </c>
      <c r="AF45" s="10">
        <v>3937</v>
      </c>
      <c r="AG45" s="10">
        <v>9846</v>
      </c>
      <c r="AH45" s="10">
        <v>27531</v>
      </c>
      <c r="AI45" s="10">
        <v>76023.759999999995</v>
      </c>
      <c r="AJ45" s="10">
        <v>123403.83</v>
      </c>
      <c r="AK45" s="10">
        <v>444890.24</v>
      </c>
      <c r="AL45" s="10">
        <v>1409</v>
      </c>
      <c r="AM45" s="10">
        <v>4069</v>
      </c>
      <c r="AN45" s="10">
        <v>63475</v>
      </c>
      <c r="AO45" s="10">
        <v>176349</v>
      </c>
      <c r="AP45" s="10">
        <v>256</v>
      </c>
      <c r="AQ45" s="10">
        <v>575</v>
      </c>
      <c r="AR45" s="10">
        <v>23613</v>
      </c>
      <c r="AS45" s="10">
        <v>70702</v>
      </c>
      <c r="AT45" s="10">
        <v>9094</v>
      </c>
      <c r="AU45" s="10">
        <v>26894</v>
      </c>
      <c r="AV45" s="10">
        <v>36857</v>
      </c>
      <c r="AW45" s="10">
        <v>93097</v>
      </c>
      <c r="AX45" s="10">
        <v>62</v>
      </c>
      <c r="AY45" s="10">
        <v>359</v>
      </c>
      <c r="AZ45" s="10">
        <v>283315</v>
      </c>
      <c r="BA45" s="10">
        <v>824987</v>
      </c>
      <c r="BB45" s="10">
        <v>38179</v>
      </c>
      <c r="BC45" s="10">
        <v>112515</v>
      </c>
      <c r="BD45" s="10">
        <v>373541</v>
      </c>
      <c r="BE45" s="10">
        <v>1095505</v>
      </c>
      <c r="BF45" s="10">
        <v>157571</v>
      </c>
      <c r="BG45" s="10">
        <v>550479</v>
      </c>
      <c r="BH45" s="10">
        <v>268909</v>
      </c>
      <c r="BI45" s="10">
        <v>589684</v>
      </c>
      <c r="BJ45" s="10">
        <v>7478</v>
      </c>
      <c r="BK45" s="10">
        <v>19255</v>
      </c>
      <c r="BL45" s="42">
        <f t="shared" si="6"/>
        <v>1875086.49</v>
      </c>
      <c r="BM45" s="42">
        <f t="shared" si="7"/>
        <v>5391162.8200000003</v>
      </c>
    </row>
    <row r="47" spans="1:65" x14ac:dyDescent="0.25">
      <c r="A47" s="17" t="s">
        <v>187</v>
      </c>
    </row>
    <row r="48" spans="1:65" x14ac:dyDescent="0.25">
      <c r="A48" s="1" t="s">
        <v>0</v>
      </c>
      <c r="B48" s="127" t="s">
        <v>1</v>
      </c>
      <c r="C48" s="128"/>
      <c r="D48" s="127" t="s">
        <v>232</v>
      </c>
      <c r="E48" s="128"/>
      <c r="F48" s="127" t="s">
        <v>2</v>
      </c>
      <c r="G48" s="128"/>
      <c r="H48" s="127" t="s">
        <v>3</v>
      </c>
      <c r="I48" s="128"/>
      <c r="J48" s="127" t="s">
        <v>241</v>
      </c>
      <c r="K48" s="128"/>
      <c r="L48" s="127" t="s">
        <v>233</v>
      </c>
      <c r="M48" s="128"/>
      <c r="N48" s="127" t="s">
        <v>244</v>
      </c>
      <c r="O48" s="128"/>
      <c r="P48" s="127" t="s">
        <v>5</v>
      </c>
      <c r="Q48" s="128"/>
      <c r="R48" s="127" t="s">
        <v>4</v>
      </c>
      <c r="S48" s="128"/>
      <c r="T48" s="127" t="s">
        <v>6</v>
      </c>
      <c r="U48" s="128"/>
      <c r="V48" s="127" t="s">
        <v>7</v>
      </c>
      <c r="W48" s="128"/>
      <c r="X48" s="127" t="s">
        <v>8</v>
      </c>
      <c r="Y48" s="128"/>
      <c r="Z48" s="127" t="s">
        <v>9</v>
      </c>
      <c r="AA48" s="128"/>
      <c r="AB48" s="127" t="s">
        <v>240</v>
      </c>
      <c r="AC48" s="128"/>
      <c r="AD48" s="127" t="s">
        <v>10</v>
      </c>
      <c r="AE48" s="128"/>
      <c r="AF48" s="127" t="s">
        <v>11</v>
      </c>
      <c r="AG48" s="128"/>
      <c r="AH48" s="127" t="s">
        <v>234</v>
      </c>
      <c r="AI48" s="128"/>
      <c r="AJ48" s="127" t="s">
        <v>12</v>
      </c>
      <c r="AK48" s="128"/>
      <c r="AL48" s="127" t="s">
        <v>235</v>
      </c>
      <c r="AM48" s="128"/>
      <c r="AN48" s="127" t="s">
        <v>293</v>
      </c>
      <c r="AO48" s="128"/>
      <c r="AP48" s="127" t="s">
        <v>236</v>
      </c>
      <c r="AQ48" s="128"/>
      <c r="AR48" s="127" t="s">
        <v>239</v>
      </c>
      <c r="AS48" s="128"/>
      <c r="AT48" s="127" t="s">
        <v>13</v>
      </c>
      <c r="AU48" s="128"/>
      <c r="AV48" s="127" t="s">
        <v>14</v>
      </c>
      <c r="AW48" s="128"/>
      <c r="AX48" s="127" t="s">
        <v>15</v>
      </c>
      <c r="AY48" s="128"/>
      <c r="AZ48" s="127" t="s">
        <v>16</v>
      </c>
      <c r="BA48" s="128"/>
      <c r="BB48" s="127" t="s">
        <v>17</v>
      </c>
      <c r="BC48" s="128"/>
      <c r="BD48" s="127" t="s">
        <v>237</v>
      </c>
      <c r="BE48" s="128"/>
      <c r="BF48" s="127" t="s">
        <v>238</v>
      </c>
      <c r="BG48" s="128"/>
      <c r="BH48" s="127" t="s">
        <v>18</v>
      </c>
      <c r="BI48" s="128"/>
      <c r="BJ48" s="127" t="s">
        <v>19</v>
      </c>
      <c r="BK48" s="128"/>
      <c r="BL48" s="129" t="s">
        <v>20</v>
      </c>
      <c r="BM48" s="130"/>
    </row>
    <row r="49" spans="1:65" ht="30" x14ac:dyDescent="0.25">
      <c r="A49" s="1"/>
      <c r="B49" s="32" t="s">
        <v>299</v>
      </c>
      <c r="C49" s="33" t="s">
        <v>298</v>
      </c>
      <c r="D49" s="32" t="s">
        <v>299</v>
      </c>
      <c r="E49" s="33" t="s">
        <v>298</v>
      </c>
      <c r="F49" s="32" t="s">
        <v>299</v>
      </c>
      <c r="G49" s="33" t="s">
        <v>298</v>
      </c>
      <c r="H49" s="32" t="s">
        <v>299</v>
      </c>
      <c r="I49" s="33" t="s">
        <v>298</v>
      </c>
      <c r="J49" s="32" t="s">
        <v>299</v>
      </c>
      <c r="K49" s="33" t="s">
        <v>298</v>
      </c>
      <c r="L49" s="32" t="s">
        <v>299</v>
      </c>
      <c r="M49" s="33" t="s">
        <v>298</v>
      </c>
      <c r="N49" s="32" t="s">
        <v>299</v>
      </c>
      <c r="O49" s="33" t="s">
        <v>298</v>
      </c>
      <c r="P49" s="32" t="s">
        <v>299</v>
      </c>
      <c r="Q49" s="33" t="s">
        <v>298</v>
      </c>
      <c r="R49" s="32" t="s">
        <v>299</v>
      </c>
      <c r="S49" s="33" t="s">
        <v>298</v>
      </c>
      <c r="T49" s="32" t="s">
        <v>299</v>
      </c>
      <c r="U49" s="33" t="s">
        <v>298</v>
      </c>
      <c r="V49" s="32" t="s">
        <v>299</v>
      </c>
      <c r="W49" s="33" t="s">
        <v>298</v>
      </c>
      <c r="X49" s="32" t="s">
        <v>299</v>
      </c>
      <c r="Y49" s="33" t="s">
        <v>298</v>
      </c>
      <c r="Z49" s="32" t="s">
        <v>299</v>
      </c>
      <c r="AA49" s="33" t="s">
        <v>298</v>
      </c>
      <c r="AB49" s="32" t="s">
        <v>299</v>
      </c>
      <c r="AC49" s="33" t="s">
        <v>298</v>
      </c>
      <c r="AD49" s="32" t="s">
        <v>299</v>
      </c>
      <c r="AE49" s="33" t="s">
        <v>298</v>
      </c>
      <c r="AF49" s="32" t="s">
        <v>299</v>
      </c>
      <c r="AG49" s="33" t="s">
        <v>298</v>
      </c>
      <c r="AH49" s="32" t="s">
        <v>299</v>
      </c>
      <c r="AI49" s="33" t="s">
        <v>298</v>
      </c>
      <c r="AJ49" s="32" t="s">
        <v>299</v>
      </c>
      <c r="AK49" s="33" t="s">
        <v>298</v>
      </c>
      <c r="AL49" s="32" t="s">
        <v>299</v>
      </c>
      <c r="AM49" s="33" t="s">
        <v>298</v>
      </c>
      <c r="AN49" s="32" t="s">
        <v>299</v>
      </c>
      <c r="AO49" s="33" t="s">
        <v>298</v>
      </c>
      <c r="AP49" s="32" t="s">
        <v>299</v>
      </c>
      <c r="AQ49" s="33" t="s">
        <v>298</v>
      </c>
      <c r="AR49" s="32" t="s">
        <v>299</v>
      </c>
      <c r="AS49" s="33" t="s">
        <v>298</v>
      </c>
      <c r="AT49" s="32" t="s">
        <v>299</v>
      </c>
      <c r="AU49" s="33" t="s">
        <v>298</v>
      </c>
      <c r="AV49" s="32" t="s">
        <v>299</v>
      </c>
      <c r="AW49" s="33" t="s">
        <v>298</v>
      </c>
      <c r="AX49" s="32" t="s">
        <v>299</v>
      </c>
      <c r="AY49" s="33" t="s">
        <v>298</v>
      </c>
      <c r="AZ49" s="32" t="s">
        <v>299</v>
      </c>
      <c r="BA49" s="33" t="s">
        <v>298</v>
      </c>
      <c r="BB49" s="32" t="s">
        <v>299</v>
      </c>
      <c r="BC49" s="33" t="s">
        <v>298</v>
      </c>
      <c r="BD49" s="32" t="s">
        <v>299</v>
      </c>
      <c r="BE49" s="33" t="s">
        <v>298</v>
      </c>
      <c r="BF49" s="32" t="s">
        <v>299</v>
      </c>
      <c r="BG49" s="33" t="s">
        <v>298</v>
      </c>
      <c r="BH49" s="32" t="s">
        <v>299</v>
      </c>
      <c r="BI49" s="33" t="s">
        <v>298</v>
      </c>
      <c r="BJ49" s="32" t="s">
        <v>299</v>
      </c>
      <c r="BK49" s="33" t="s">
        <v>298</v>
      </c>
      <c r="BL49" s="32" t="s">
        <v>299</v>
      </c>
      <c r="BM49" s="33" t="s">
        <v>298</v>
      </c>
    </row>
    <row r="50" spans="1:65" x14ac:dyDescent="0.25">
      <c r="A50" s="9" t="s">
        <v>267</v>
      </c>
      <c r="B50" s="9">
        <v>127</v>
      </c>
      <c r="C50" s="9">
        <v>430</v>
      </c>
      <c r="D50" s="9">
        <v>4101</v>
      </c>
      <c r="E50" s="9">
        <v>11986</v>
      </c>
      <c r="F50" s="9"/>
      <c r="G50" s="9"/>
      <c r="H50" s="9">
        <v>6352</v>
      </c>
      <c r="I50" s="9">
        <v>16888</v>
      </c>
      <c r="J50" s="9">
        <v>8742</v>
      </c>
      <c r="K50" s="9">
        <v>26105</v>
      </c>
      <c r="L50" s="9">
        <v>8021</v>
      </c>
      <c r="M50" s="9">
        <v>23248</v>
      </c>
      <c r="N50" s="9">
        <v>3850</v>
      </c>
      <c r="O50" s="9">
        <v>10870</v>
      </c>
      <c r="P50" s="9"/>
      <c r="Q50" s="9"/>
      <c r="R50" s="9">
        <v>832.65</v>
      </c>
      <c r="S50" s="9">
        <v>2430.4</v>
      </c>
      <c r="T50" s="9">
        <v>2299.81</v>
      </c>
      <c r="U50" s="9">
        <v>6369.3</v>
      </c>
      <c r="V50" s="9">
        <v>12921</v>
      </c>
      <c r="W50" s="9">
        <v>48620</v>
      </c>
      <c r="X50" s="9">
        <v>15644</v>
      </c>
      <c r="Y50" s="9">
        <v>43529</v>
      </c>
      <c r="Z50" s="9">
        <v>3191</v>
      </c>
      <c r="AA50" s="9">
        <v>10013</v>
      </c>
      <c r="AB50" s="9">
        <v>1575</v>
      </c>
      <c r="AC50" s="9">
        <v>4146</v>
      </c>
      <c r="AD50" s="9">
        <v>402</v>
      </c>
      <c r="AE50" s="9">
        <v>1672</v>
      </c>
      <c r="AF50" s="9">
        <v>349</v>
      </c>
      <c r="AG50" s="9">
        <v>690</v>
      </c>
      <c r="AH50" s="9">
        <v>879.65</v>
      </c>
      <c r="AI50" s="9">
        <v>2211.23</v>
      </c>
      <c r="AJ50" s="9">
        <v>2905.39</v>
      </c>
      <c r="AK50" s="9">
        <v>37782.089999999997</v>
      </c>
      <c r="AL50" s="9">
        <v>-3</v>
      </c>
      <c r="AM50" s="9">
        <v>13</v>
      </c>
      <c r="AN50" s="9">
        <v>2032</v>
      </c>
      <c r="AO50" s="9">
        <v>5492</v>
      </c>
      <c r="AP50" s="9">
        <v>13</v>
      </c>
      <c r="AQ50" s="9">
        <v>39</v>
      </c>
      <c r="AR50" s="9">
        <v>3931</v>
      </c>
      <c r="AS50" s="9">
        <v>13328</v>
      </c>
      <c r="AT50" s="9">
        <v>875</v>
      </c>
      <c r="AU50" s="9">
        <v>3395</v>
      </c>
      <c r="AV50" s="9">
        <v>27437</v>
      </c>
      <c r="AW50" s="9">
        <v>71099</v>
      </c>
      <c r="AX50" s="9">
        <v>2099</v>
      </c>
      <c r="AY50" s="9">
        <v>3738</v>
      </c>
      <c r="AZ50" s="9">
        <v>4908</v>
      </c>
      <c r="BA50" s="9">
        <v>13349</v>
      </c>
      <c r="BB50" s="9">
        <v>16626</v>
      </c>
      <c r="BC50" s="9">
        <v>38123</v>
      </c>
      <c r="BD50" s="9">
        <v>7695</v>
      </c>
      <c r="BE50" s="9">
        <v>50174</v>
      </c>
      <c r="BF50" s="9">
        <v>5136</v>
      </c>
      <c r="BG50" s="9">
        <v>31502</v>
      </c>
      <c r="BH50" s="9">
        <v>12884</v>
      </c>
      <c r="BI50" s="9">
        <v>37134</v>
      </c>
      <c r="BJ50" s="9">
        <v>4565</v>
      </c>
      <c r="BK50" s="9">
        <v>12458</v>
      </c>
      <c r="BL50" s="46">
        <f t="shared" ref="BL50:BL56" si="8">SUM(B50+D50+F50+H50+J50+L50+N50+P50+R50+T50+V50+X50+Z50+AB50+AD50+AF50+AH50+AJ50+AL50+AN50+AP50+AR50+AT50+AV50+AX50+AZ50+BB50+BD50+BF50+BH50+BJ50)</f>
        <v>160390.5</v>
      </c>
      <c r="BM50" s="46">
        <f t="shared" ref="BM50:BM56" si="9">SUM(C50+E50+G50+I50+K50+M50+O50+Q50+S50+U50+W50+Y50+AA50+AC50+AE50+AG50+AI50+AK50+AM50+AO50+AQ50+AS50+AU50+AW50+AY50+BA50+BC50+BE50+BG50+BI50+BK50)</f>
        <v>526834.02</v>
      </c>
    </row>
    <row r="51" spans="1:65" x14ac:dyDescent="0.25">
      <c r="A51" s="9" t="s">
        <v>268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>
        <v>1</v>
      </c>
      <c r="P51" s="9"/>
      <c r="Q51" s="9"/>
      <c r="R51" s="9"/>
      <c r="S51" s="9"/>
      <c r="T51" s="9"/>
      <c r="U51" s="9">
        <v>19.96</v>
      </c>
      <c r="V51" s="9"/>
      <c r="W51" s="9"/>
      <c r="X51" s="9">
        <v>1</v>
      </c>
      <c r="Y51" s="9">
        <v>6</v>
      </c>
      <c r="Z51" s="9"/>
      <c r="AA51" s="9">
        <v>73</v>
      </c>
      <c r="AB51" s="9"/>
      <c r="AC51" s="9"/>
      <c r="AD51" s="9">
        <v>-27</v>
      </c>
      <c r="AE51" s="9">
        <v>-27</v>
      </c>
      <c r="AF51" s="9"/>
      <c r="AG51" s="9"/>
      <c r="AH51" s="9">
        <v>0</v>
      </c>
      <c r="AI51" s="9">
        <v>0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>
        <v>95</v>
      </c>
      <c r="AU51" s="9">
        <v>1623</v>
      </c>
      <c r="AV51" s="9"/>
      <c r="AW51" s="9">
        <v>2</v>
      </c>
      <c r="AX51" s="9"/>
      <c r="AY51" s="9"/>
      <c r="AZ51" s="9"/>
      <c r="BA51" s="9"/>
      <c r="BB51" s="9"/>
      <c r="BC51" s="9">
        <v>277</v>
      </c>
      <c r="BD51" s="9">
        <v>80</v>
      </c>
      <c r="BE51" s="9">
        <v>281</v>
      </c>
      <c r="BF51" s="9">
        <v>135</v>
      </c>
      <c r="BG51" s="9">
        <v>135</v>
      </c>
      <c r="BH51" s="9">
        <v>96</v>
      </c>
      <c r="BI51" s="9">
        <v>176</v>
      </c>
      <c r="BJ51" s="9"/>
      <c r="BK51" s="9"/>
      <c r="BL51" s="46">
        <f t="shared" si="8"/>
        <v>380</v>
      </c>
      <c r="BM51" s="46">
        <f t="shared" si="9"/>
        <v>2566.96</v>
      </c>
    </row>
    <row r="52" spans="1:65" x14ac:dyDescent="0.25">
      <c r="A52" s="9" t="s">
        <v>269</v>
      </c>
      <c r="B52" s="9">
        <v>7</v>
      </c>
      <c r="C52" s="9">
        <v>30</v>
      </c>
      <c r="D52" s="9">
        <v>235</v>
      </c>
      <c r="E52" s="9">
        <v>751</v>
      </c>
      <c r="F52" s="9"/>
      <c r="G52" s="9"/>
      <c r="H52" s="9">
        <v>-483</v>
      </c>
      <c r="I52" s="9">
        <v>-1141</v>
      </c>
      <c r="J52" s="9">
        <v>362</v>
      </c>
      <c r="K52" s="9">
        <v>1481</v>
      </c>
      <c r="L52" s="9">
        <v>2028</v>
      </c>
      <c r="M52" s="9">
        <v>7018</v>
      </c>
      <c r="N52" s="9">
        <v>472</v>
      </c>
      <c r="O52" s="9">
        <v>977</v>
      </c>
      <c r="P52" s="9"/>
      <c r="Q52" s="9"/>
      <c r="R52" s="9">
        <v>377.04</v>
      </c>
      <c r="S52" s="9">
        <v>1063.3499999999999</v>
      </c>
      <c r="T52" s="9">
        <v>462.07</v>
      </c>
      <c r="U52" s="9">
        <v>911.03</v>
      </c>
      <c r="V52" s="9">
        <v>-5532</v>
      </c>
      <c r="W52" s="9">
        <v>-20437</v>
      </c>
      <c r="X52" s="9">
        <v>2307</v>
      </c>
      <c r="Y52" s="9">
        <v>7219</v>
      </c>
      <c r="Z52" s="9">
        <v>329</v>
      </c>
      <c r="AA52" s="9">
        <v>837</v>
      </c>
      <c r="AB52" s="9">
        <v>408</v>
      </c>
      <c r="AC52" s="9">
        <v>997</v>
      </c>
      <c r="AD52" s="9">
        <v>17</v>
      </c>
      <c r="AE52" s="9">
        <v>119</v>
      </c>
      <c r="AF52" s="9">
        <v>-30</v>
      </c>
      <c r="AG52" s="9">
        <v>-60</v>
      </c>
      <c r="AH52" s="9">
        <v>96.32</v>
      </c>
      <c r="AI52" s="9">
        <v>230.17</v>
      </c>
      <c r="AJ52" s="9">
        <v>1816.1</v>
      </c>
      <c r="AK52" s="9">
        <v>3727.34</v>
      </c>
      <c r="AL52" s="9">
        <v>-14</v>
      </c>
      <c r="AM52" s="9">
        <v>-36</v>
      </c>
      <c r="AN52" s="9">
        <v>529</v>
      </c>
      <c r="AO52" s="9">
        <v>1223</v>
      </c>
      <c r="AP52" s="9">
        <v>12</v>
      </c>
      <c r="AQ52" s="9">
        <v>30</v>
      </c>
      <c r="AR52" s="9">
        <v>1892</v>
      </c>
      <c r="AS52" s="9">
        <v>5660</v>
      </c>
      <c r="AT52" s="9">
        <v>150</v>
      </c>
      <c r="AU52" s="9">
        <v>1896</v>
      </c>
      <c r="AV52" s="9">
        <v>4274</v>
      </c>
      <c r="AW52" s="9">
        <v>10946</v>
      </c>
      <c r="AX52" s="9">
        <v>651</v>
      </c>
      <c r="AY52" s="9">
        <v>1010</v>
      </c>
      <c r="AZ52" s="9">
        <v>1122</v>
      </c>
      <c r="BA52" s="9">
        <v>3164</v>
      </c>
      <c r="BB52" s="9">
        <v>8203</v>
      </c>
      <c r="BC52" s="9">
        <v>16582</v>
      </c>
      <c r="BD52" s="9">
        <v>299</v>
      </c>
      <c r="BE52" s="9">
        <v>2287</v>
      </c>
      <c r="BF52" s="9">
        <v>1468</v>
      </c>
      <c r="BG52" s="9">
        <v>2600</v>
      </c>
      <c r="BH52" s="9">
        <v>5267</v>
      </c>
      <c r="BI52" s="9">
        <v>15347</v>
      </c>
      <c r="BJ52" s="9">
        <v>757</v>
      </c>
      <c r="BK52" s="9">
        <v>2713</v>
      </c>
      <c r="BL52" s="46">
        <f t="shared" si="8"/>
        <v>27481.53</v>
      </c>
      <c r="BM52" s="46">
        <f t="shared" si="9"/>
        <v>67144.89</v>
      </c>
    </row>
    <row r="53" spans="1:65" s="7" customFormat="1" x14ac:dyDescent="0.25">
      <c r="A53" s="10" t="s">
        <v>270</v>
      </c>
      <c r="B53" s="10">
        <v>120</v>
      </c>
      <c r="C53" s="10">
        <v>400</v>
      </c>
      <c r="D53" s="10">
        <v>3866</v>
      </c>
      <c r="E53" s="10">
        <v>11234</v>
      </c>
      <c r="F53" s="10"/>
      <c r="G53" s="10"/>
      <c r="H53" s="10">
        <v>5869</v>
      </c>
      <c r="I53" s="10">
        <v>15747</v>
      </c>
      <c r="J53" s="10">
        <v>8380</v>
      </c>
      <c r="K53" s="10">
        <v>24624</v>
      </c>
      <c r="L53" s="10">
        <v>5993</v>
      </c>
      <c r="M53" s="10">
        <v>16230</v>
      </c>
      <c r="N53" s="10">
        <v>3378</v>
      </c>
      <c r="O53" s="10">
        <v>9894</v>
      </c>
      <c r="P53" s="10"/>
      <c r="Q53" s="10"/>
      <c r="R53" s="10">
        <v>455.61</v>
      </c>
      <c r="S53" s="10">
        <v>1367.05</v>
      </c>
      <c r="T53" s="10">
        <v>1837.75</v>
      </c>
      <c r="U53" s="10">
        <v>5478.24</v>
      </c>
      <c r="V53" s="10">
        <v>7390</v>
      </c>
      <c r="W53" s="10">
        <v>28183</v>
      </c>
      <c r="X53" s="10">
        <v>13338</v>
      </c>
      <c r="Y53" s="10">
        <v>36316</v>
      </c>
      <c r="Z53" s="10">
        <v>2862</v>
      </c>
      <c r="AA53" s="10">
        <v>9249</v>
      </c>
      <c r="AB53" s="10">
        <v>1167</v>
      </c>
      <c r="AC53" s="10">
        <v>3149</v>
      </c>
      <c r="AD53" s="10">
        <v>359</v>
      </c>
      <c r="AE53" s="10">
        <v>1526</v>
      </c>
      <c r="AF53" s="10">
        <v>320</v>
      </c>
      <c r="AG53" s="10">
        <v>630</v>
      </c>
      <c r="AH53" s="10">
        <v>783.34</v>
      </c>
      <c r="AI53" s="10">
        <v>1981.06</v>
      </c>
      <c r="AJ53" s="10">
        <v>1089.29</v>
      </c>
      <c r="AK53" s="10">
        <v>34054.74</v>
      </c>
      <c r="AL53" s="10">
        <v>-17</v>
      </c>
      <c r="AM53" s="10">
        <v>-23</v>
      </c>
      <c r="AN53" s="10">
        <v>1503</v>
      </c>
      <c r="AO53" s="10">
        <v>4269</v>
      </c>
      <c r="AP53" s="10">
        <v>1</v>
      </c>
      <c r="AQ53" s="10">
        <v>9</v>
      </c>
      <c r="AR53" s="10">
        <v>2039</v>
      </c>
      <c r="AS53" s="10">
        <v>7668</v>
      </c>
      <c r="AT53" s="10">
        <v>820</v>
      </c>
      <c r="AU53" s="10">
        <v>3122</v>
      </c>
      <c r="AV53" s="10">
        <v>23164</v>
      </c>
      <c r="AW53" s="10">
        <v>60155</v>
      </c>
      <c r="AX53" s="10">
        <v>1448</v>
      </c>
      <c r="AY53" s="10">
        <v>2727</v>
      </c>
      <c r="AZ53" s="10">
        <v>3786</v>
      </c>
      <c r="BA53" s="10">
        <v>10185</v>
      </c>
      <c r="BB53" s="10">
        <v>8423</v>
      </c>
      <c r="BC53" s="10">
        <v>21819</v>
      </c>
      <c r="BD53" s="10">
        <v>7476</v>
      </c>
      <c r="BE53" s="10">
        <v>48169</v>
      </c>
      <c r="BF53" s="10">
        <v>3802</v>
      </c>
      <c r="BG53" s="10">
        <v>29037</v>
      </c>
      <c r="BH53" s="10">
        <v>7712</v>
      </c>
      <c r="BI53" s="10">
        <v>21964</v>
      </c>
      <c r="BJ53" s="10">
        <v>3807</v>
      </c>
      <c r="BK53" s="10">
        <v>9745</v>
      </c>
      <c r="BL53" s="42">
        <f t="shared" si="8"/>
        <v>121171.98999999999</v>
      </c>
      <c r="BM53" s="42">
        <f t="shared" si="9"/>
        <v>418909.08999999997</v>
      </c>
    </row>
    <row r="54" spans="1:65" x14ac:dyDescent="0.25">
      <c r="A54" s="9" t="s">
        <v>271</v>
      </c>
      <c r="B54" s="9">
        <v>200</v>
      </c>
      <c r="C54" s="9">
        <v>177</v>
      </c>
      <c r="D54" s="9">
        <v>7029</v>
      </c>
      <c r="E54" s="9">
        <v>6667</v>
      </c>
      <c r="F54" s="9"/>
      <c r="G54" s="9"/>
      <c r="H54" s="9">
        <v>11852</v>
      </c>
      <c r="I54" s="9">
        <v>11789</v>
      </c>
      <c r="J54" s="9">
        <v>19601</v>
      </c>
      <c r="K54" s="9">
        <v>18193</v>
      </c>
      <c r="L54" s="9">
        <v>28750</v>
      </c>
      <c r="M54" s="9">
        <v>27510</v>
      </c>
      <c r="N54" s="9">
        <v>8805</v>
      </c>
      <c r="O54" s="9">
        <v>8781</v>
      </c>
      <c r="P54" s="9"/>
      <c r="Q54" s="9"/>
      <c r="R54" s="9">
        <v>896.52</v>
      </c>
      <c r="S54" s="9">
        <v>327.10000000000002</v>
      </c>
      <c r="T54" s="9">
        <v>4095.58</v>
      </c>
      <c r="U54" s="9">
        <v>4625.16</v>
      </c>
      <c r="V54" s="9">
        <v>54797</v>
      </c>
      <c r="W54" s="9">
        <v>54528</v>
      </c>
      <c r="X54" s="9">
        <v>36924</v>
      </c>
      <c r="Y54" s="9">
        <v>35618</v>
      </c>
      <c r="Z54" s="9"/>
      <c r="AA54" s="9">
        <v>5431</v>
      </c>
      <c r="AB54" s="9">
        <v>2795</v>
      </c>
      <c r="AC54" s="9">
        <v>2361</v>
      </c>
      <c r="AD54" s="9">
        <v>1052</v>
      </c>
      <c r="AE54" s="9">
        <v>828</v>
      </c>
      <c r="AF54" s="9">
        <v>248</v>
      </c>
      <c r="AG54" s="9">
        <v>223</v>
      </c>
      <c r="AH54" s="9">
        <v>989.54</v>
      </c>
      <c r="AI54" s="9">
        <v>643.54999999999995</v>
      </c>
      <c r="AJ54" s="9"/>
      <c r="AK54" s="9">
        <v>10442.92</v>
      </c>
      <c r="AL54" s="9">
        <v>657</v>
      </c>
      <c r="AM54" s="9">
        <v>862</v>
      </c>
      <c r="AN54" s="9">
        <v>2752</v>
      </c>
      <c r="AO54" s="9">
        <v>2595</v>
      </c>
      <c r="AP54" s="9">
        <v>7</v>
      </c>
      <c r="AQ54" s="9">
        <v>3</v>
      </c>
      <c r="AR54" s="9">
        <v>7611</v>
      </c>
      <c r="AS54" s="9">
        <v>5227</v>
      </c>
      <c r="AT54" s="9">
        <v>2411</v>
      </c>
      <c r="AU54" s="9">
        <v>1951</v>
      </c>
      <c r="AV54" s="9">
        <v>41170</v>
      </c>
      <c r="AW54" s="9">
        <v>33961</v>
      </c>
      <c r="AX54" s="9">
        <v>1271</v>
      </c>
      <c r="AY54" s="9">
        <v>667</v>
      </c>
      <c r="AZ54" s="9">
        <v>10059</v>
      </c>
      <c r="BA54" s="9">
        <v>10148</v>
      </c>
      <c r="BB54" s="9">
        <v>10728</v>
      </c>
      <c r="BC54" s="9">
        <v>10037</v>
      </c>
      <c r="BD54" s="9">
        <v>29973</v>
      </c>
      <c r="BE54" s="9">
        <v>20557</v>
      </c>
      <c r="BF54" s="9">
        <v>0</v>
      </c>
      <c r="BG54" s="9">
        <v>0</v>
      </c>
      <c r="BH54" s="9"/>
      <c r="BI54" s="9"/>
      <c r="BJ54" s="9">
        <v>5084</v>
      </c>
      <c r="BK54" s="9">
        <v>4386</v>
      </c>
      <c r="BL54" s="46">
        <f t="shared" si="8"/>
        <v>289757.64</v>
      </c>
      <c r="BM54" s="46">
        <f t="shared" si="9"/>
        <v>278538.73</v>
      </c>
    </row>
    <row r="55" spans="1:65" x14ac:dyDescent="0.25">
      <c r="A55" s="2" t="s">
        <v>272</v>
      </c>
      <c r="B55" s="9">
        <v>175</v>
      </c>
      <c r="C55" s="9">
        <v>175</v>
      </c>
      <c r="D55" s="9">
        <v>7560</v>
      </c>
      <c r="E55" s="9">
        <v>7560</v>
      </c>
      <c r="F55" s="9"/>
      <c r="G55" s="9"/>
      <c r="H55" s="9">
        <v>12717</v>
      </c>
      <c r="I55" s="9">
        <v>12717</v>
      </c>
      <c r="J55" s="9">
        <v>18444</v>
      </c>
      <c r="K55" s="9">
        <v>18444</v>
      </c>
      <c r="L55" s="9">
        <v>29852</v>
      </c>
      <c r="M55" s="9">
        <v>29852</v>
      </c>
      <c r="N55" s="9">
        <v>9852</v>
      </c>
      <c r="O55" s="9">
        <v>9852</v>
      </c>
      <c r="P55" s="9"/>
      <c r="Q55" s="9"/>
      <c r="R55" s="9">
        <v>919.33</v>
      </c>
      <c r="S55" s="9">
        <v>919.33</v>
      </c>
      <c r="T55" s="9">
        <v>3625.46</v>
      </c>
      <c r="U55" s="9">
        <v>3625.46</v>
      </c>
      <c r="V55" s="9">
        <v>-52152</v>
      </c>
      <c r="W55" s="9">
        <v>-52152</v>
      </c>
      <c r="X55" s="9">
        <v>38793</v>
      </c>
      <c r="Y55" s="9">
        <v>38793</v>
      </c>
      <c r="Z55" s="9">
        <v>49</v>
      </c>
      <c r="AA55" s="9">
        <v>6291</v>
      </c>
      <c r="AB55" s="9">
        <v>3123</v>
      </c>
      <c r="AC55" s="9">
        <v>3123</v>
      </c>
      <c r="AD55" s="9">
        <v>907</v>
      </c>
      <c r="AE55" s="9">
        <v>907</v>
      </c>
      <c r="AF55" s="9">
        <v>-370</v>
      </c>
      <c r="AG55" s="9">
        <v>-370</v>
      </c>
      <c r="AH55" s="9">
        <v>1198.3</v>
      </c>
      <c r="AI55" s="9">
        <v>1198.3</v>
      </c>
      <c r="AJ55" s="9">
        <v>-1077.82</v>
      </c>
      <c r="AK55" s="9">
        <v>18841.63</v>
      </c>
      <c r="AL55" s="9">
        <v>-544</v>
      </c>
      <c r="AM55" s="9">
        <v>-544</v>
      </c>
      <c r="AN55" s="9">
        <v>2938</v>
      </c>
      <c r="AO55" s="9">
        <v>2938</v>
      </c>
      <c r="AP55" s="9">
        <v>6</v>
      </c>
      <c r="AQ55" s="9">
        <v>6</v>
      </c>
      <c r="AR55" s="9">
        <v>7629</v>
      </c>
      <c r="AS55" s="9">
        <v>7629</v>
      </c>
      <c r="AT55" s="9">
        <v>2290</v>
      </c>
      <c r="AU55" s="9">
        <v>2290</v>
      </c>
      <c r="AV55" s="9">
        <v>46539</v>
      </c>
      <c r="AW55" s="9">
        <v>46539</v>
      </c>
      <c r="AX55" s="9">
        <v>2075</v>
      </c>
      <c r="AY55" s="9">
        <v>2075</v>
      </c>
      <c r="AZ55" s="9">
        <v>10437</v>
      </c>
      <c r="BA55" s="9">
        <v>10437</v>
      </c>
      <c r="BB55" s="9">
        <v>11712</v>
      </c>
      <c r="BC55" s="9">
        <v>11712</v>
      </c>
      <c r="BD55" s="9">
        <v>20316</v>
      </c>
      <c r="BE55" s="9">
        <v>20316</v>
      </c>
      <c r="BF55" s="9">
        <v>-1508</v>
      </c>
      <c r="BG55" s="9">
        <v>3822</v>
      </c>
      <c r="BH55" s="9"/>
      <c r="BI55" s="9"/>
      <c r="BJ55" s="9">
        <v>-6086</v>
      </c>
      <c r="BK55" s="9">
        <v>-6086</v>
      </c>
      <c r="BL55" s="46">
        <f t="shared" si="8"/>
        <v>169419.27000000002</v>
      </c>
      <c r="BM55" s="46">
        <f t="shared" si="9"/>
        <v>200910.72000000003</v>
      </c>
    </row>
    <row r="56" spans="1:65" s="7" customFormat="1" x14ac:dyDescent="0.25">
      <c r="A56" s="10" t="s">
        <v>192</v>
      </c>
      <c r="B56" s="10">
        <v>145</v>
      </c>
      <c r="C56" s="10">
        <v>402</v>
      </c>
      <c r="D56" s="10">
        <v>3335</v>
      </c>
      <c r="E56" s="10">
        <v>10341</v>
      </c>
      <c r="F56" s="10"/>
      <c r="G56" s="10"/>
      <c r="H56" s="10">
        <v>5004</v>
      </c>
      <c r="I56" s="10">
        <v>14819</v>
      </c>
      <c r="J56" s="10">
        <v>9537</v>
      </c>
      <c r="K56" s="10">
        <v>24373</v>
      </c>
      <c r="L56" s="10">
        <v>4891</v>
      </c>
      <c r="M56" s="10">
        <v>13887</v>
      </c>
      <c r="N56" s="10">
        <v>2331</v>
      </c>
      <c r="O56" s="10">
        <v>8823</v>
      </c>
      <c r="P56" s="10"/>
      <c r="Q56" s="10"/>
      <c r="R56" s="10">
        <v>432.8</v>
      </c>
      <c r="S56" s="10">
        <v>774.82</v>
      </c>
      <c r="T56" s="10">
        <v>2307.86</v>
      </c>
      <c r="U56" s="10">
        <v>6477.94</v>
      </c>
      <c r="V56" s="10">
        <v>10035</v>
      </c>
      <c r="W56" s="10">
        <v>30559</v>
      </c>
      <c r="X56" s="10">
        <v>11469</v>
      </c>
      <c r="Y56" s="10">
        <v>33141</v>
      </c>
      <c r="Z56" s="10">
        <v>2813</v>
      </c>
      <c r="AA56" s="10">
        <v>8389</v>
      </c>
      <c r="AB56" s="10">
        <v>839</v>
      </c>
      <c r="AC56" s="10">
        <v>2387</v>
      </c>
      <c r="AD56" s="10">
        <v>504</v>
      </c>
      <c r="AE56" s="10">
        <v>1448</v>
      </c>
      <c r="AF56" s="10">
        <v>198</v>
      </c>
      <c r="AG56" s="10">
        <v>483</v>
      </c>
      <c r="AH56" s="10">
        <v>574.58000000000004</v>
      </c>
      <c r="AI56" s="10">
        <v>1426.32</v>
      </c>
      <c r="AJ56" s="10">
        <v>2167.11</v>
      </c>
      <c r="AK56" s="10">
        <v>25656.03</v>
      </c>
      <c r="AL56" s="10">
        <v>96</v>
      </c>
      <c r="AM56" s="10">
        <v>295</v>
      </c>
      <c r="AN56" s="10">
        <v>1317</v>
      </c>
      <c r="AO56" s="10">
        <v>3925</v>
      </c>
      <c r="AP56" s="10">
        <v>3</v>
      </c>
      <c r="AQ56" s="10">
        <v>6</v>
      </c>
      <c r="AR56" s="10">
        <v>2021</v>
      </c>
      <c r="AS56" s="10">
        <v>5266</v>
      </c>
      <c r="AT56" s="10">
        <v>940</v>
      </c>
      <c r="AU56" s="10">
        <v>2782</v>
      </c>
      <c r="AV56" s="10">
        <v>17795</v>
      </c>
      <c r="AW56" s="10">
        <v>47578</v>
      </c>
      <c r="AX56" s="10">
        <v>644</v>
      </c>
      <c r="AY56" s="10">
        <v>1319</v>
      </c>
      <c r="AZ56" s="10">
        <v>3408</v>
      </c>
      <c r="BA56" s="10">
        <v>9896</v>
      </c>
      <c r="BB56" s="10">
        <v>7438</v>
      </c>
      <c r="BC56" s="10">
        <v>20144</v>
      </c>
      <c r="BD56" s="10">
        <v>17133</v>
      </c>
      <c r="BE56" s="10">
        <v>48410</v>
      </c>
      <c r="BF56" s="10">
        <v>5311</v>
      </c>
      <c r="BG56" s="10">
        <v>25216</v>
      </c>
      <c r="BH56" s="10">
        <v>9571</v>
      </c>
      <c r="BI56" s="10">
        <v>22227</v>
      </c>
      <c r="BJ56" s="10">
        <v>2805</v>
      </c>
      <c r="BK56" s="10">
        <v>8045</v>
      </c>
      <c r="BL56" s="42">
        <f t="shared" si="8"/>
        <v>125065.35</v>
      </c>
      <c r="BM56" s="42">
        <f t="shared" si="9"/>
        <v>378496.11</v>
      </c>
    </row>
    <row r="57" spans="1:65" s="7" customFormat="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6"/>
      <c r="BM57" s="66"/>
    </row>
    <row r="58" spans="1:65" x14ac:dyDescent="0.25">
      <c r="A58" s="17" t="s">
        <v>297</v>
      </c>
    </row>
    <row r="59" spans="1:65" x14ac:dyDescent="0.25">
      <c r="A59" s="1" t="s">
        <v>0</v>
      </c>
      <c r="B59" s="127" t="s">
        <v>1</v>
      </c>
      <c r="C59" s="128"/>
      <c r="D59" s="127" t="s">
        <v>232</v>
      </c>
      <c r="E59" s="128"/>
      <c r="F59" s="127" t="s">
        <v>2</v>
      </c>
      <c r="G59" s="128"/>
      <c r="H59" s="127" t="s">
        <v>3</v>
      </c>
      <c r="I59" s="128"/>
      <c r="J59" s="127" t="s">
        <v>241</v>
      </c>
      <c r="K59" s="128"/>
      <c r="L59" s="127" t="s">
        <v>233</v>
      </c>
      <c r="M59" s="128"/>
      <c r="N59" s="127" t="s">
        <v>244</v>
      </c>
      <c r="O59" s="128"/>
      <c r="P59" s="127" t="s">
        <v>5</v>
      </c>
      <c r="Q59" s="128"/>
      <c r="R59" s="127" t="s">
        <v>4</v>
      </c>
      <c r="S59" s="128"/>
      <c r="T59" s="127" t="s">
        <v>6</v>
      </c>
      <c r="U59" s="128"/>
      <c r="V59" s="127" t="s">
        <v>7</v>
      </c>
      <c r="W59" s="128"/>
      <c r="X59" s="127" t="s">
        <v>8</v>
      </c>
      <c r="Y59" s="128"/>
      <c r="Z59" s="127" t="s">
        <v>9</v>
      </c>
      <c r="AA59" s="128"/>
      <c r="AB59" s="127" t="s">
        <v>240</v>
      </c>
      <c r="AC59" s="128"/>
      <c r="AD59" s="127" t="s">
        <v>10</v>
      </c>
      <c r="AE59" s="128"/>
      <c r="AF59" s="127" t="s">
        <v>11</v>
      </c>
      <c r="AG59" s="128"/>
      <c r="AH59" s="127" t="s">
        <v>234</v>
      </c>
      <c r="AI59" s="128"/>
      <c r="AJ59" s="127" t="s">
        <v>12</v>
      </c>
      <c r="AK59" s="128"/>
      <c r="AL59" s="127" t="s">
        <v>235</v>
      </c>
      <c r="AM59" s="128"/>
      <c r="AN59" s="127" t="s">
        <v>293</v>
      </c>
      <c r="AO59" s="128"/>
      <c r="AP59" s="127" t="s">
        <v>236</v>
      </c>
      <c r="AQ59" s="128"/>
      <c r="AR59" s="127" t="s">
        <v>239</v>
      </c>
      <c r="AS59" s="128"/>
      <c r="AT59" s="127" t="s">
        <v>13</v>
      </c>
      <c r="AU59" s="128"/>
      <c r="AV59" s="127" t="s">
        <v>14</v>
      </c>
      <c r="AW59" s="128"/>
      <c r="AX59" s="127" t="s">
        <v>15</v>
      </c>
      <c r="AY59" s="128"/>
      <c r="AZ59" s="127" t="s">
        <v>16</v>
      </c>
      <c r="BA59" s="128"/>
      <c r="BB59" s="127" t="s">
        <v>17</v>
      </c>
      <c r="BC59" s="128"/>
      <c r="BD59" s="127" t="s">
        <v>237</v>
      </c>
      <c r="BE59" s="128"/>
      <c r="BF59" s="127" t="s">
        <v>238</v>
      </c>
      <c r="BG59" s="128"/>
      <c r="BH59" s="127" t="s">
        <v>18</v>
      </c>
      <c r="BI59" s="128"/>
      <c r="BJ59" s="127" t="s">
        <v>19</v>
      </c>
      <c r="BK59" s="128"/>
      <c r="BL59" s="129" t="s">
        <v>20</v>
      </c>
      <c r="BM59" s="130"/>
    </row>
    <row r="60" spans="1:65" ht="30" x14ac:dyDescent="0.25">
      <c r="A60" s="1"/>
      <c r="B60" s="32" t="s">
        <v>299</v>
      </c>
      <c r="C60" s="33" t="s">
        <v>298</v>
      </c>
      <c r="D60" s="32" t="s">
        <v>299</v>
      </c>
      <c r="E60" s="33" t="s">
        <v>298</v>
      </c>
      <c r="F60" s="32" t="s">
        <v>299</v>
      </c>
      <c r="G60" s="33" t="s">
        <v>298</v>
      </c>
      <c r="H60" s="32" t="s">
        <v>299</v>
      </c>
      <c r="I60" s="33" t="s">
        <v>298</v>
      </c>
      <c r="J60" s="32" t="s">
        <v>299</v>
      </c>
      <c r="K60" s="33" t="s">
        <v>298</v>
      </c>
      <c r="L60" s="32" t="s">
        <v>299</v>
      </c>
      <c r="M60" s="33" t="s">
        <v>298</v>
      </c>
      <c r="N60" s="32" t="s">
        <v>299</v>
      </c>
      <c r="O60" s="33" t="s">
        <v>298</v>
      </c>
      <c r="P60" s="32" t="s">
        <v>299</v>
      </c>
      <c r="Q60" s="33" t="s">
        <v>298</v>
      </c>
      <c r="R60" s="32" t="s">
        <v>299</v>
      </c>
      <c r="S60" s="33" t="s">
        <v>298</v>
      </c>
      <c r="T60" s="32" t="s">
        <v>299</v>
      </c>
      <c r="U60" s="33" t="s">
        <v>298</v>
      </c>
      <c r="V60" s="32" t="s">
        <v>299</v>
      </c>
      <c r="W60" s="33" t="s">
        <v>298</v>
      </c>
      <c r="X60" s="32" t="s">
        <v>299</v>
      </c>
      <c r="Y60" s="33" t="s">
        <v>298</v>
      </c>
      <c r="Z60" s="32" t="s">
        <v>299</v>
      </c>
      <c r="AA60" s="33" t="s">
        <v>298</v>
      </c>
      <c r="AB60" s="32" t="s">
        <v>299</v>
      </c>
      <c r="AC60" s="33" t="s">
        <v>298</v>
      </c>
      <c r="AD60" s="32" t="s">
        <v>299</v>
      </c>
      <c r="AE60" s="33" t="s">
        <v>298</v>
      </c>
      <c r="AF60" s="32" t="s">
        <v>299</v>
      </c>
      <c r="AG60" s="33" t="s">
        <v>298</v>
      </c>
      <c r="AH60" s="32" t="s">
        <v>299</v>
      </c>
      <c r="AI60" s="33" t="s">
        <v>298</v>
      </c>
      <c r="AJ60" s="32" t="s">
        <v>299</v>
      </c>
      <c r="AK60" s="33" t="s">
        <v>298</v>
      </c>
      <c r="AL60" s="32" t="s">
        <v>299</v>
      </c>
      <c r="AM60" s="33" t="s">
        <v>298</v>
      </c>
      <c r="AN60" s="32" t="s">
        <v>299</v>
      </c>
      <c r="AO60" s="33" t="s">
        <v>298</v>
      </c>
      <c r="AP60" s="32" t="s">
        <v>299</v>
      </c>
      <c r="AQ60" s="33" t="s">
        <v>298</v>
      </c>
      <c r="AR60" s="32" t="s">
        <v>299</v>
      </c>
      <c r="AS60" s="33" t="s">
        <v>298</v>
      </c>
      <c r="AT60" s="32" t="s">
        <v>299</v>
      </c>
      <c r="AU60" s="33" t="s">
        <v>298</v>
      </c>
      <c r="AV60" s="32" t="s">
        <v>299</v>
      </c>
      <c r="AW60" s="33" t="s">
        <v>298</v>
      </c>
      <c r="AX60" s="32" t="s">
        <v>299</v>
      </c>
      <c r="AY60" s="33" t="s">
        <v>298</v>
      </c>
      <c r="AZ60" s="32" t="s">
        <v>299</v>
      </c>
      <c r="BA60" s="33" t="s">
        <v>298</v>
      </c>
      <c r="BB60" s="32" t="s">
        <v>299</v>
      </c>
      <c r="BC60" s="33" t="s">
        <v>298</v>
      </c>
      <c r="BD60" s="32" t="s">
        <v>299</v>
      </c>
      <c r="BE60" s="33" t="s">
        <v>298</v>
      </c>
      <c r="BF60" s="32" t="s">
        <v>299</v>
      </c>
      <c r="BG60" s="33" t="s">
        <v>298</v>
      </c>
      <c r="BH60" s="32" t="s">
        <v>299</v>
      </c>
      <c r="BI60" s="33" t="s">
        <v>298</v>
      </c>
      <c r="BJ60" s="32" t="s">
        <v>299</v>
      </c>
      <c r="BK60" s="33" t="s">
        <v>298</v>
      </c>
      <c r="BL60" s="32" t="s">
        <v>299</v>
      </c>
      <c r="BM60" s="33" t="s">
        <v>298</v>
      </c>
    </row>
    <row r="61" spans="1:65" x14ac:dyDescent="0.25">
      <c r="A61" s="9" t="s">
        <v>267</v>
      </c>
      <c r="B61" s="9">
        <v>1921</v>
      </c>
      <c r="C61" s="9">
        <v>5959</v>
      </c>
      <c r="D61" s="9"/>
      <c r="E61" s="9"/>
      <c r="F61" s="9"/>
      <c r="G61" s="9"/>
      <c r="H61" s="9">
        <v>1572</v>
      </c>
      <c r="I61" s="9">
        <v>5870</v>
      </c>
      <c r="J61" s="9"/>
      <c r="K61" s="9"/>
      <c r="L61" s="9">
        <v>212</v>
      </c>
      <c r="M61" s="9">
        <v>884</v>
      </c>
      <c r="N61" s="9">
        <v>3</v>
      </c>
      <c r="O61" s="9">
        <v>13</v>
      </c>
      <c r="P61" s="9"/>
      <c r="Q61" s="9"/>
      <c r="R61" s="9">
        <v>-0.01</v>
      </c>
      <c r="S61" s="9">
        <v>0.01</v>
      </c>
      <c r="T61" s="9">
        <v>711.05</v>
      </c>
      <c r="U61" s="9">
        <v>2099.52</v>
      </c>
      <c r="V61" s="9">
        <v>49</v>
      </c>
      <c r="W61" s="9">
        <v>166</v>
      </c>
      <c r="X61" s="9">
        <v>3139</v>
      </c>
      <c r="Y61" s="9">
        <v>8439</v>
      </c>
      <c r="Z61" s="9">
        <v>1631</v>
      </c>
      <c r="AA61" s="9">
        <v>5089</v>
      </c>
      <c r="AB61" s="9">
        <v>7</v>
      </c>
      <c r="AC61" s="9">
        <v>12</v>
      </c>
      <c r="AD61" s="9">
        <v>260</v>
      </c>
      <c r="AE61" s="9">
        <v>1064</v>
      </c>
      <c r="AF61" s="9">
        <v>0</v>
      </c>
      <c r="AG61" s="9">
        <v>3</v>
      </c>
      <c r="AH61" s="9"/>
      <c r="AI61" s="9"/>
      <c r="AJ61" s="9">
        <v>3008.94</v>
      </c>
      <c r="AK61" s="9">
        <v>9870.1299999999992</v>
      </c>
      <c r="AL61" s="9"/>
      <c r="AM61" s="9"/>
      <c r="AN61" s="9"/>
      <c r="AO61" s="9"/>
      <c r="AP61" s="9">
        <v>1543</v>
      </c>
      <c r="AQ61" s="9">
        <v>4890</v>
      </c>
      <c r="AR61" s="9">
        <v>1417</v>
      </c>
      <c r="AS61" s="9">
        <v>3675</v>
      </c>
      <c r="AT61" s="9">
        <v>136</v>
      </c>
      <c r="AU61" s="9">
        <v>451</v>
      </c>
      <c r="AV61" s="9">
        <v>1566</v>
      </c>
      <c r="AW61" s="9">
        <v>4396</v>
      </c>
      <c r="AX61" s="9">
        <v>24</v>
      </c>
      <c r="AY61" s="9">
        <v>76</v>
      </c>
      <c r="AZ61" s="9"/>
      <c r="BA61" s="9"/>
      <c r="BB61" s="9">
        <v>13740</v>
      </c>
      <c r="BC61" s="9">
        <v>36655</v>
      </c>
      <c r="BD61" s="9">
        <v>3695</v>
      </c>
      <c r="BE61" s="9">
        <v>14263</v>
      </c>
      <c r="BF61" s="9">
        <v>1817</v>
      </c>
      <c r="BG61" s="9">
        <v>7273</v>
      </c>
      <c r="BH61" s="9">
        <v>2465</v>
      </c>
      <c r="BI61" s="9">
        <v>13904</v>
      </c>
      <c r="BJ61" s="9">
        <v>162</v>
      </c>
      <c r="BK61" s="9">
        <v>1515</v>
      </c>
      <c r="BL61" s="46">
        <f t="shared" ref="BL61:BL67" si="10">SUM(B61+D61+F61+H61+J61+L61+N61+P61+R61+T61+V61+X61+Z61+AB61+AD61+AF61+AH61+AJ61+AL61+AN61+AP61+AR61+AT61+AV61+AX61+AZ61+BB61+BD61+BF61+BH61+BJ61)</f>
        <v>39078.980000000003</v>
      </c>
      <c r="BM61" s="46">
        <f t="shared" ref="BM61:BM67" si="11">SUM(C61+E61+G61+I61+K61+M61+O61+Q61+S61+U61+W61+Y61+AA61+AC61+AE61+AG61+AI61+AK61+AM61+AO61+AQ61+AS61+AU61+AW61+AY61+BA61+BC61+BE61+BG61+BI61+BK61)</f>
        <v>126566.66</v>
      </c>
    </row>
    <row r="62" spans="1:65" x14ac:dyDescent="0.25">
      <c r="A62" s="9" t="s">
        <v>268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>
        <v>104</v>
      </c>
      <c r="M62" s="9">
        <v>104</v>
      </c>
      <c r="N62" s="9"/>
      <c r="O62" s="9"/>
      <c r="P62" s="9"/>
      <c r="Q62" s="9"/>
      <c r="R62" s="9"/>
      <c r="S62" s="9"/>
      <c r="T62" s="9">
        <v>-9.51</v>
      </c>
      <c r="U62" s="9">
        <v>161.22</v>
      </c>
      <c r="V62" s="9">
        <v>11</v>
      </c>
      <c r="W62" s="9">
        <v>11</v>
      </c>
      <c r="X62" s="9">
        <v>1</v>
      </c>
      <c r="Y62" s="9">
        <v>2120</v>
      </c>
      <c r="Z62" s="9"/>
      <c r="AA62" s="9"/>
      <c r="AB62" s="9"/>
      <c r="AC62" s="9"/>
      <c r="AD62" s="9">
        <v>221</v>
      </c>
      <c r="AE62" s="9">
        <v>524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>
        <v>286</v>
      </c>
      <c r="AQ62" s="9">
        <v>488</v>
      </c>
      <c r="AR62" s="9">
        <v>297</v>
      </c>
      <c r="AS62" s="9">
        <v>371</v>
      </c>
      <c r="AT62" s="9"/>
      <c r="AU62" s="9">
        <v>1</v>
      </c>
      <c r="AV62" s="9">
        <v>240</v>
      </c>
      <c r="AW62" s="9">
        <v>716</v>
      </c>
      <c r="AX62" s="9"/>
      <c r="AY62" s="9"/>
      <c r="AZ62" s="9"/>
      <c r="BA62" s="9"/>
      <c r="BB62" s="9">
        <v>1619</v>
      </c>
      <c r="BC62" s="9">
        <v>4774</v>
      </c>
      <c r="BD62" s="9">
        <v>2</v>
      </c>
      <c r="BE62" s="9">
        <v>5</v>
      </c>
      <c r="BF62" s="9">
        <v>-1</v>
      </c>
      <c r="BG62" s="9">
        <v>692</v>
      </c>
      <c r="BH62" s="9">
        <v>11</v>
      </c>
      <c r="BI62" s="9">
        <v>1379</v>
      </c>
      <c r="BJ62" s="9"/>
      <c r="BK62" s="9"/>
      <c r="BL62" s="46">
        <f t="shared" si="10"/>
        <v>2781.49</v>
      </c>
      <c r="BM62" s="46">
        <f t="shared" si="11"/>
        <v>11346.220000000001</v>
      </c>
    </row>
    <row r="63" spans="1:65" x14ac:dyDescent="0.25">
      <c r="A63" s="9" t="s">
        <v>269</v>
      </c>
      <c r="B63" s="9">
        <v>1561</v>
      </c>
      <c r="C63" s="9">
        <v>3096</v>
      </c>
      <c r="D63" s="9"/>
      <c r="E63" s="9"/>
      <c r="F63" s="9"/>
      <c r="G63" s="9"/>
      <c r="H63" s="9">
        <v>-779</v>
      </c>
      <c r="I63" s="9">
        <v>-3400</v>
      </c>
      <c r="J63" s="9"/>
      <c r="K63" s="9"/>
      <c r="L63" s="9">
        <v>113</v>
      </c>
      <c r="M63" s="9">
        <v>495</v>
      </c>
      <c r="N63" s="9">
        <v>3</v>
      </c>
      <c r="O63" s="9">
        <v>12</v>
      </c>
      <c r="P63" s="9"/>
      <c r="Q63" s="9"/>
      <c r="R63" s="9"/>
      <c r="S63" s="9"/>
      <c r="T63" s="9">
        <v>404.12</v>
      </c>
      <c r="U63" s="9">
        <v>1314.47</v>
      </c>
      <c r="V63" s="9">
        <v>-31</v>
      </c>
      <c r="W63" s="9">
        <v>-110</v>
      </c>
      <c r="X63" s="9">
        <v>1514</v>
      </c>
      <c r="Y63" s="9">
        <v>5487</v>
      </c>
      <c r="Z63" s="9">
        <v>663</v>
      </c>
      <c r="AA63" s="9">
        <v>1964</v>
      </c>
      <c r="AB63" s="9">
        <v>6</v>
      </c>
      <c r="AC63" s="9">
        <v>11</v>
      </c>
      <c r="AD63" s="9">
        <v>10</v>
      </c>
      <c r="AE63" s="9">
        <v>380</v>
      </c>
      <c r="AF63" s="9">
        <v>0</v>
      </c>
      <c r="AG63" s="9">
        <v>-2</v>
      </c>
      <c r="AH63" s="9"/>
      <c r="AI63" s="9"/>
      <c r="AJ63" s="9">
        <v>728.78</v>
      </c>
      <c r="AK63" s="9">
        <v>2845.91</v>
      </c>
      <c r="AL63" s="9"/>
      <c r="AM63" s="9"/>
      <c r="AN63" s="9"/>
      <c r="AO63" s="9"/>
      <c r="AP63" s="9">
        <v>597</v>
      </c>
      <c r="AQ63" s="9">
        <v>1847</v>
      </c>
      <c r="AR63" s="9">
        <v>822</v>
      </c>
      <c r="AS63" s="9">
        <v>1868</v>
      </c>
      <c r="AT63" s="9">
        <v>91</v>
      </c>
      <c r="AU63" s="9">
        <v>223</v>
      </c>
      <c r="AV63" s="9">
        <v>1210</v>
      </c>
      <c r="AW63" s="9">
        <v>3493</v>
      </c>
      <c r="AX63" s="9">
        <v>12</v>
      </c>
      <c r="AY63" s="9">
        <v>37</v>
      </c>
      <c r="AZ63" s="9"/>
      <c r="BA63" s="9"/>
      <c r="BB63" s="9">
        <v>13484</v>
      </c>
      <c r="BC63" s="9">
        <v>37694</v>
      </c>
      <c r="BD63" s="9">
        <v>110</v>
      </c>
      <c r="BE63" s="9">
        <v>147</v>
      </c>
      <c r="BF63" s="9">
        <v>891</v>
      </c>
      <c r="BG63" s="9">
        <v>2820</v>
      </c>
      <c r="BH63" s="9">
        <v>646</v>
      </c>
      <c r="BI63" s="9">
        <v>4246</v>
      </c>
      <c r="BJ63" s="9">
        <v>108</v>
      </c>
      <c r="BK63" s="9">
        <v>639</v>
      </c>
      <c r="BL63" s="46">
        <f t="shared" si="10"/>
        <v>22163.9</v>
      </c>
      <c r="BM63" s="46">
        <f t="shared" si="11"/>
        <v>65107.380000000005</v>
      </c>
    </row>
    <row r="64" spans="1:65" s="7" customFormat="1" x14ac:dyDescent="0.25">
      <c r="A64" s="10" t="s">
        <v>270</v>
      </c>
      <c r="B64" s="10">
        <v>360</v>
      </c>
      <c r="C64" s="10">
        <v>2863</v>
      </c>
      <c r="D64" s="10"/>
      <c r="E64" s="10"/>
      <c r="F64" s="10"/>
      <c r="G64" s="10"/>
      <c r="H64" s="10">
        <v>794</v>
      </c>
      <c r="I64" s="10">
        <v>2470</v>
      </c>
      <c r="J64" s="10"/>
      <c r="K64" s="10"/>
      <c r="L64" s="10">
        <v>203</v>
      </c>
      <c r="M64" s="10">
        <v>492</v>
      </c>
      <c r="N64" s="10"/>
      <c r="O64" s="10">
        <v>1</v>
      </c>
      <c r="P64" s="10"/>
      <c r="Q64" s="10"/>
      <c r="R64" s="10">
        <v>-0.01</v>
      </c>
      <c r="S64" s="10">
        <v>0.01</v>
      </c>
      <c r="T64" s="10">
        <v>297.42</v>
      </c>
      <c r="U64" s="10">
        <v>946.27</v>
      </c>
      <c r="V64" s="10">
        <v>30</v>
      </c>
      <c r="W64" s="10">
        <v>67</v>
      </c>
      <c r="X64" s="10">
        <v>1626</v>
      </c>
      <c r="Y64" s="10">
        <v>5072</v>
      </c>
      <c r="Z64" s="10">
        <v>968</v>
      </c>
      <c r="AA64" s="10">
        <v>3125</v>
      </c>
      <c r="AB64" s="10">
        <v>1</v>
      </c>
      <c r="AC64" s="10">
        <v>1</v>
      </c>
      <c r="AD64" s="10">
        <v>471</v>
      </c>
      <c r="AE64" s="10">
        <v>1208</v>
      </c>
      <c r="AF64" s="10">
        <v>0</v>
      </c>
      <c r="AG64" s="10">
        <v>0</v>
      </c>
      <c r="AH64" s="10"/>
      <c r="AI64" s="10"/>
      <c r="AJ64" s="10">
        <v>2280.16</v>
      </c>
      <c r="AK64" s="10">
        <v>7024.22</v>
      </c>
      <c r="AL64" s="10"/>
      <c r="AM64" s="10"/>
      <c r="AN64" s="10"/>
      <c r="AO64" s="10"/>
      <c r="AP64" s="10">
        <v>1231</v>
      </c>
      <c r="AQ64" s="10">
        <v>3531</v>
      </c>
      <c r="AR64" s="10">
        <v>891</v>
      </c>
      <c r="AS64" s="10">
        <v>2178</v>
      </c>
      <c r="AT64" s="10">
        <v>45</v>
      </c>
      <c r="AU64" s="10">
        <v>228</v>
      </c>
      <c r="AV64" s="10">
        <v>596</v>
      </c>
      <c r="AW64" s="10">
        <v>1619</v>
      </c>
      <c r="AX64" s="10">
        <v>12</v>
      </c>
      <c r="AY64" s="10">
        <v>39</v>
      </c>
      <c r="AZ64" s="10"/>
      <c r="BA64" s="10"/>
      <c r="BB64" s="10">
        <v>1875</v>
      </c>
      <c r="BC64" s="10">
        <v>3735</v>
      </c>
      <c r="BD64" s="10">
        <v>3587</v>
      </c>
      <c r="BE64" s="10">
        <v>14121</v>
      </c>
      <c r="BF64" s="10">
        <v>925</v>
      </c>
      <c r="BG64" s="10">
        <v>5145</v>
      </c>
      <c r="BH64" s="10">
        <v>1830</v>
      </c>
      <c r="BI64" s="10">
        <v>11036</v>
      </c>
      <c r="BJ64" s="10">
        <v>53</v>
      </c>
      <c r="BK64" s="10">
        <v>876</v>
      </c>
      <c r="BL64" s="42">
        <f t="shared" si="10"/>
        <v>18075.57</v>
      </c>
      <c r="BM64" s="42">
        <f t="shared" si="11"/>
        <v>65777.5</v>
      </c>
    </row>
    <row r="65" spans="1:65" x14ac:dyDescent="0.25">
      <c r="A65" s="9" t="s">
        <v>271</v>
      </c>
      <c r="B65" s="9">
        <v>3004</v>
      </c>
      <c r="C65" s="9">
        <v>1537</v>
      </c>
      <c r="D65" s="9"/>
      <c r="E65" s="9"/>
      <c r="F65" s="9"/>
      <c r="G65" s="9"/>
      <c r="H65" s="9">
        <v>1556</v>
      </c>
      <c r="I65" s="9">
        <v>1099</v>
      </c>
      <c r="J65" s="9"/>
      <c r="K65" s="9"/>
      <c r="L65" s="9">
        <v>422</v>
      </c>
      <c r="M65" s="9">
        <v>424</v>
      </c>
      <c r="N65" s="9">
        <v>1</v>
      </c>
      <c r="O65" s="9">
        <v>1</v>
      </c>
      <c r="P65" s="9"/>
      <c r="Q65" s="9"/>
      <c r="R65" s="9">
        <v>0.01</v>
      </c>
      <c r="S65" s="9">
        <v>0.01</v>
      </c>
      <c r="T65" s="9">
        <v>685.41</v>
      </c>
      <c r="U65" s="9">
        <v>631.59</v>
      </c>
      <c r="V65" s="9">
        <v>41</v>
      </c>
      <c r="W65" s="9">
        <v>42</v>
      </c>
      <c r="X65" s="9">
        <v>4788</v>
      </c>
      <c r="Y65" s="9">
        <v>3381</v>
      </c>
      <c r="Z65" s="9"/>
      <c r="AA65" s="9">
        <v>1633</v>
      </c>
      <c r="AB65" s="9">
        <v>0</v>
      </c>
      <c r="AC65" s="9"/>
      <c r="AD65" s="9">
        <v>1043</v>
      </c>
      <c r="AE65" s="9">
        <v>882</v>
      </c>
      <c r="AF65" s="9">
        <v>1</v>
      </c>
      <c r="AG65" s="9">
        <v>1</v>
      </c>
      <c r="AH65" s="9"/>
      <c r="AI65" s="9"/>
      <c r="AJ65" s="9"/>
      <c r="AK65" s="9">
        <v>3544.24</v>
      </c>
      <c r="AL65" s="9"/>
      <c r="AM65" s="9"/>
      <c r="AN65" s="9"/>
      <c r="AO65" s="9"/>
      <c r="AP65" s="9">
        <v>4125</v>
      </c>
      <c r="AQ65" s="9">
        <v>4465</v>
      </c>
      <c r="AR65" s="9">
        <v>1159</v>
      </c>
      <c r="AS65" s="9">
        <v>875</v>
      </c>
      <c r="AT65" s="9">
        <v>163</v>
      </c>
      <c r="AU65" s="9">
        <v>133</v>
      </c>
      <c r="AV65" s="9">
        <v>1041</v>
      </c>
      <c r="AW65" s="9">
        <v>1015</v>
      </c>
      <c r="AX65" s="9">
        <v>26</v>
      </c>
      <c r="AY65" s="9">
        <v>26</v>
      </c>
      <c r="AZ65" s="9"/>
      <c r="BA65" s="9"/>
      <c r="BB65" s="9">
        <v>3464</v>
      </c>
      <c r="BC65" s="9">
        <v>3332</v>
      </c>
      <c r="BD65" s="9">
        <v>3676</v>
      </c>
      <c r="BE65" s="9">
        <v>2761</v>
      </c>
      <c r="BF65" s="9">
        <v>0</v>
      </c>
      <c r="BG65" s="9">
        <v>0</v>
      </c>
      <c r="BH65" s="9"/>
      <c r="BI65" s="9"/>
      <c r="BJ65" s="9">
        <v>615</v>
      </c>
      <c r="BK65" s="9">
        <v>278</v>
      </c>
      <c r="BL65" s="46">
        <f t="shared" si="10"/>
        <v>25810.42</v>
      </c>
      <c r="BM65" s="46">
        <f t="shared" si="11"/>
        <v>26060.84</v>
      </c>
    </row>
    <row r="66" spans="1:65" x14ac:dyDescent="0.25">
      <c r="A66" s="2" t="s">
        <v>272</v>
      </c>
      <c r="B66" s="9">
        <v>2745</v>
      </c>
      <c r="C66" s="9">
        <v>2745</v>
      </c>
      <c r="D66" s="9"/>
      <c r="E66" s="9"/>
      <c r="F66" s="9"/>
      <c r="G66" s="9"/>
      <c r="H66" s="9">
        <v>1577</v>
      </c>
      <c r="I66" s="9">
        <v>1577</v>
      </c>
      <c r="J66" s="9"/>
      <c r="K66" s="9"/>
      <c r="L66" s="9">
        <v>370</v>
      </c>
      <c r="M66" s="9">
        <v>370</v>
      </c>
      <c r="N66" s="9">
        <v>1</v>
      </c>
      <c r="O66" s="9">
        <v>1</v>
      </c>
      <c r="P66" s="9"/>
      <c r="Q66" s="9"/>
      <c r="R66" s="9">
        <v>0.01</v>
      </c>
      <c r="S66" s="9">
        <v>0.01</v>
      </c>
      <c r="T66" s="9">
        <v>672.11</v>
      </c>
      <c r="U66" s="9">
        <v>672.11</v>
      </c>
      <c r="V66" s="9">
        <v>-49</v>
      </c>
      <c r="W66" s="9">
        <v>-49</v>
      </c>
      <c r="X66" s="9">
        <v>4799</v>
      </c>
      <c r="Y66" s="9">
        <v>4799</v>
      </c>
      <c r="Z66" s="9">
        <v>-45</v>
      </c>
      <c r="AA66" s="9">
        <v>1838</v>
      </c>
      <c r="AB66" s="9">
        <v>1</v>
      </c>
      <c r="AC66" s="9">
        <v>1</v>
      </c>
      <c r="AD66" s="9">
        <v>1142</v>
      </c>
      <c r="AE66" s="9">
        <v>1142</v>
      </c>
      <c r="AF66" s="9">
        <v>-1</v>
      </c>
      <c r="AG66" s="9">
        <v>-1</v>
      </c>
      <c r="AH66" s="9"/>
      <c r="AI66" s="9"/>
      <c r="AJ66" s="9">
        <v>408.93</v>
      </c>
      <c r="AK66" s="9">
        <v>4382.9399999999996</v>
      </c>
      <c r="AL66" s="9"/>
      <c r="AM66" s="9"/>
      <c r="AN66" s="9"/>
      <c r="AO66" s="9"/>
      <c r="AP66" s="9">
        <v>4080</v>
      </c>
      <c r="AQ66" s="9">
        <v>4080</v>
      </c>
      <c r="AR66" s="9">
        <v>1494</v>
      </c>
      <c r="AS66" s="9">
        <v>1494</v>
      </c>
      <c r="AT66" s="9">
        <v>135</v>
      </c>
      <c r="AU66" s="9">
        <v>135</v>
      </c>
      <c r="AV66" s="9">
        <v>1092</v>
      </c>
      <c r="AW66" s="9">
        <v>1092</v>
      </c>
      <c r="AX66" s="9">
        <v>24</v>
      </c>
      <c r="AY66" s="9">
        <v>24</v>
      </c>
      <c r="AZ66" s="9"/>
      <c r="BA66" s="9"/>
      <c r="BB66" s="9">
        <v>3519</v>
      </c>
      <c r="BC66" s="9">
        <v>3519</v>
      </c>
      <c r="BD66" s="9">
        <v>3365</v>
      </c>
      <c r="BE66" s="9">
        <v>3365</v>
      </c>
      <c r="BF66" s="9">
        <v>-266</v>
      </c>
      <c r="BG66" s="9">
        <v>263</v>
      </c>
      <c r="BH66" s="9"/>
      <c r="BI66" s="9"/>
      <c r="BJ66" s="9">
        <v>-420</v>
      </c>
      <c r="BK66" s="9">
        <v>-420</v>
      </c>
      <c r="BL66" s="46">
        <f t="shared" si="10"/>
        <v>24644.05</v>
      </c>
      <c r="BM66" s="46">
        <f t="shared" si="11"/>
        <v>31030.059999999998</v>
      </c>
    </row>
    <row r="67" spans="1:65" s="7" customFormat="1" x14ac:dyDescent="0.25">
      <c r="A67" s="10" t="s">
        <v>192</v>
      </c>
      <c r="B67" s="10">
        <v>619</v>
      </c>
      <c r="C67" s="10">
        <v>1655</v>
      </c>
      <c r="D67" s="10"/>
      <c r="E67" s="10"/>
      <c r="F67" s="10"/>
      <c r="G67" s="10"/>
      <c r="H67" s="10">
        <v>774</v>
      </c>
      <c r="I67" s="10">
        <v>1993</v>
      </c>
      <c r="J67" s="10"/>
      <c r="K67" s="10"/>
      <c r="L67" s="10">
        <v>254</v>
      </c>
      <c r="M67" s="10">
        <v>546</v>
      </c>
      <c r="N67" s="10"/>
      <c r="O67" s="10">
        <v>1</v>
      </c>
      <c r="P67" s="10"/>
      <c r="Q67" s="10"/>
      <c r="R67" s="10">
        <v>-0.01</v>
      </c>
      <c r="S67" s="10">
        <v>0.01</v>
      </c>
      <c r="T67" s="10">
        <v>310.72000000000003</v>
      </c>
      <c r="U67" s="10">
        <v>905.75</v>
      </c>
      <c r="V67" s="10">
        <v>22</v>
      </c>
      <c r="W67" s="10">
        <v>60</v>
      </c>
      <c r="X67" s="10">
        <v>1615</v>
      </c>
      <c r="Y67" s="10">
        <v>3654</v>
      </c>
      <c r="Z67" s="10">
        <v>1013</v>
      </c>
      <c r="AA67" s="10">
        <v>2920</v>
      </c>
      <c r="AB67" s="10">
        <v>0</v>
      </c>
      <c r="AC67" s="10">
        <v>0</v>
      </c>
      <c r="AD67" s="10">
        <v>371</v>
      </c>
      <c r="AE67" s="10">
        <v>948</v>
      </c>
      <c r="AF67" s="10">
        <v>0</v>
      </c>
      <c r="AG67" s="10">
        <v>0</v>
      </c>
      <c r="AH67" s="10"/>
      <c r="AI67" s="10"/>
      <c r="AJ67" s="10">
        <v>1871.23</v>
      </c>
      <c r="AK67" s="10">
        <v>6185.52</v>
      </c>
      <c r="AL67" s="10"/>
      <c r="AM67" s="10"/>
      <c r="AN67" s="10"/>
      <c r="AO67" s="10"/>
      <c r="AP67" s="10">
        <v>1277</v>
      </c>
      <c r="AQ67" s="10">
        <v>3916</v>
      </c>
      <c r="AR67" s="10">
        <v>557</v>
      </c>
      <c r="AS67" s="10">
        <v>1559</v>
      </c>
      <c r="AT67" s="10">
        <v>74</v>
      </c>
      <c r="AU67" s="10">
        <v>226</v>
      </c>
      <c r="AV67" s="10">
        <v>545</v>
      </c>
      <c r="AW67" s="10">
        <v>1543</v>
      </c>
      <c r="AX67" s="10">
        <v>14</v>
      </c>
      <c r="AY67" s="10">
        <v>41</v>
      </c>
      <c r="AZ67" s="10"/>
      <c r="BA67" s="10"/>
      <c r="BB67" s="10">
        <v>1820</v>
      </c>
      <c r="BC67" s="10">
        <v>3548</v>
      </c>
      <c r="BD67" s="10">
        <v>3898</v>
      </c>
      <c r="BE67" s="10">
        <v>13517</v>
      </c>
      <c r="BF67" s="10">
        <v>1191</v>
      </c>
      <c r="BG67" s="10">
        <v>4882</v>
      </c>
      <c r="BH67" s="10">
        <v>746</v>
      </c>
      <c r="BI67" s="10">
        <v>10124</v>
      </c>
      <c r="BJ67" s="10">
        <v>248</v>
      </c>
      <c r="BK67" s="10">
        <v>734</v>
      </c>
      <c r="BL67" s="42">
        <f t="shared" si="10"/>
        <v>17219.940000000002</v>
      </c>
      <c r="BM67" s="42">
        <f t="shared" si="11"/>
        <v>58958.28</v>
      </c>
    </row>
    <row r="69" spans="1:65" x14ac:dyDescent="0.25">
      <c r="A69" s="17" t="s">
        <v>185</v>
      </c>
    </row>
    <row r="70" spans="1:65" x14ac:dyDescent="0.25">
      <c r="A70" s="1" t="s">
        <v>0</v>
      </c>
      <c r="B70" s="127" t="s">
        <v>1</v>
      </c>
      <c r="C70" s="128"/>
      <c r="D70" s="127" t="s">
        <v>232</v>
      </c>
      <c r="E70" s="128"/>
      <c r="F70" s="127" t="s">
        <v>2</v>
      </c>
      <c r="G70" s="128"/>
      <c r="H70" s="127" t="s">
        <v>3</v>
      </c>
      <c r="I70" s="128"/>
      <c r="J70" s="127" t="s">
        <v>241</v>
      </c>
      <c r="K70" s="128"/>
      <c r="L70" s="127" t="s">
        <v>233</v>
      </c>
      <c r="M70" s="128"/>
      <c r="N70" s="127" t="s">
        <v>244</v>
      </c>
      <c r="O70" s="128"/>
      <c r="P70" s="127" t="s">
        <v>5</v>
      </c>
      <c r="Q70" s="128"/>
      <c r="R70" s="127" t="s">
        <v>4</v>
      </c>
      <c r="S70" s="128"/>
      <c r="T70" s="127" t="s">
        <v>6</v>
      </c>
      <c r="U70" s="128"/>
      <c r="V70" s="127" t="s">
        <v>7</v>
      </c>
      <c r="W70" s="128"/>
      <c r="X70" s="127" t="s">
        <v>8</v>
      </c>
      <c r="Y70" s="128"/>
      <c r="Z70" s="127" t="s">
        <v>9</v>
      </c>
      <c r="AA70" s="128"/>
      <c r="AB70" s="127" t="s">
        <v>240</v>
      </c>
      <c r="AC70" s="128"/>
      <c r="AD70" s="127" t="s">
        <v>10</v>
      </c>
      <c r="AE70" s="128"/>
      <c r="AF70" s="127" t="s">
        <v>11</v>
      </c>
      <c r="AG70" s="128"/>
      <c r="AH70" s="127" t="s">
        <v>234</v>
      </c>
      <c r="AI70" s="128"/>
      <c r="AJ70" s="127" t="s">
        <v>12</v>
      </c>
      <c r="AK70" s="128"/>
      <c r="AL70" s="127" t="s">
        <v>235</v>
      </c>
      <c r="AM70" s="128"/>
      <c r="AN70" s="127" t="s">
        <v>293</v>
      </c>
      <c r="AO70" s="128"/>
      <c r="AP70" s="127" t="s">
        <v>236</v>
      </c>
      <c r="AQ70" s="128"/>
      <c r="AR70" s="127" t="s">
        <v>239</v>
      </c>
      <c r="AS70" s="128"/>
      <c r="AT70" s="127" t="s">
        <v>13</v>
      </c>
      <c r="AU70" s="128"/>
      <c r="AV70" s="127" t="s">
        <v>14</v>
      </c>
      <c r="AW70" s="128"/>
      <c r="AX70" s="127" t="s">
        <v>15</v>
      </c>
      <c r="AY70" s="128"/>
      <c r="AZ70" s="127" t="s">
        <v>16</v>
      </c>
      <c r="BA70" s="128"/>
      <c r="BB70" s="127" t="s">
        <v>17</v>
      </c>
      <c r="BC70" s="128"/>
      <c r="BD70" s="127" t="s">
        <v>237</v>
      </c>
      <c r="BE70" s="128"/>
      <c r="BF70" s="127" t="s">
        <v>238</v>
      </c>
      <c r="BG70" s="128"/>
      <c r="BH70" s="127" t="s">
        <v>18</v>
      </c>
      <c r="BI70" s="128"/>
      <c r="BJ70" s="127" t="s">
        <v>19</v>
      </c>
      <c r="BK70" s="128"/>
      <c r="BL70" s="129" t="s">
        <v>20</v>
      </c>
      <c r="BM70" s="130"/>
    </row>
    <row r="71" spans="1:65" ht="30" x14ac:dyDescent="0.25">
      <c r="A71" s="1"/>
      <c r="B71" s="32" t="s">
        <v>299</v>
      </c>
      <c r="C71" s="33" t="s">
        <v>298</v>
      </c>
      <c r="D71" s="32" t="s">
        <v>299</v>
      </c>
      <c r="E71" s="33" t="s">
        <v>298</v>
      </c>
      <c r="F71" s="32" t="s">
        <v>299</v>
      </c>
      <c r="G71" s="33" t="s">
        <v>298</v>
      </c>
      <c r="H71" s="32" t="s">
        <v>299</v>
      </c>
      <c r="I71" s="33" t="s">
        <v>298</v>
      </c>
      <c r="J71" s="32" t="s">
        <v>299</v>
      </c>
      <c r="K71" s="33" t="s">
        <v>298</v>
      </c>
      <c r="L71" s="32" t="s">
        <v>299</v>
      </c>
      <c r="M71" s="33" t="s">
        <v>298</v>
      </c>
      <c r="N71" s="32" t="s">
        <v>299</v>
      </c>
      <c r="O71" s="33" t="s">
        <v>298</v>
      </c>
      <c r="P71" s="32" t="s">
        <v>299</v>
      </c>
      <c r="Q71" s="33" t="s">
        <v>298</v>
      </c>
      <c r="R71" s="32" t="s">
        <v>299</v>
      </c>
      <c r="S71" s="33" t="s">
        <v>298</v>
      </c>
      <c r="T71" s="32" t="s">
        <v>299</v>
      </c>
      <c r="U71" s="33" t="s">
        <v>298</v>
      </c>
      <c r="V71" s="32" t="s">
        <v>299</v>
      </c>
      <c r="W71" s="33" t="s">
        <v>298</v>
      </c>
      <c r="X71" s="32" t="s">
        <v>299</v>
      </c>
      <c r="Y71" s="33" t="s">
        <v>298</v>
      </c>
      <c r="Z71" s="32" t="s">
        <v>299</v>
      </c>
      <c r="AA71" s="33" t="s">
        <v>298</v>
      </c>
      <c r="AB71" s="32" t="s">
        <v>299</v>
      </c>
      <c r="AC71" s="33" t="s">
        <v>298</v>
      </c>
      <c r="AD71" s="32" t="s">
        <v>299</v>
      </c>
      <c r="AE71" s="33" t="s">
        <v>298</v>
      </c>
      <c r="AF71" s="32" t="s">
        <v>299</v>
      </c>
      <c r="AG71" s="33" t="s">
        <v>298</v>
      </c>
      <c r="AH71" s="32" t="s">
        <v>299</v>
      </c>
      <c r="AI71" s="33" t="s">
        <v>298</v>
      </c>
      <c r="AJ71" s="32" t="s">
        <v>299</v>
      </c>
      <c r="AK71" s="33" t="s">
        <v>298</v>
      </c>
      <c r="AL71" s="32" t="s">
        <v>299</v>
      </c>
      <c r="AM71" s="33" t="s">
        <v>298</v>
      </c>
      <c r="AN71" s="32" t="s">
        <v>299</v>
      </c>
      <c r="AO71" s="33" t="s">
        <v>298</v>
      </c>
      <c r="AP71" s="32" t="s">
        <v>299</v>
      </c>
      <c r="AQ71" s="33" t="s">
        <v>298</v>
      </c>
      <c r="AR71" s="32" t="s">
        <v>299</v>
      </c>
      <c r="AS71" s="33" t="s">
        <v>298</v>
      </c>
      <c r="AT71" s="32" t="s">
        <v>299</v>
      </c>
      <c r="AU71" s="33" t="s">
        <v>298</v>
      </c>
      <c r="AV71" s="32" t="s">
        <v>299</v>
      </c>
      <c r="AW71" s="33" t="s">
        <v>298</v>
      </c>
      <c r="AX71" s="32" t="s">
        <v>299</v>
      </c>
      <c r="AY71" s="33" t="s">
        <v>298</v>
      </c>
      <c r="AZ71" s="32" t="s">
        <v>299</v>
      </c>
      <c r="BA71" s="33" t="s">
        <v>298</v>
      </c>
      <c r="BB71" s="32" t="s">
        <v>299</v>
      </c>
      <c r="BC71" s="33" t="s">
        <v>298</v>
      </c>
      <c r="BD71" s="32" t="s">
        <v>299</v>
      </c>
      <c r="BE71" s="33" t="s">
        <v>298</v>
      </c>
      <c r="BF71" s="32" t="s">
        <v>299</v>
      </c>
      <c r="BG71" s="33" t="s">
        <v>298</v>
      </c>
      <c r="BH71" s="32" t="s">
        <v>299</v>
      </c>
      <c r="BI71" s="33" t="s">
        <v>298</v>
      </c>
      <c r="BJ71" s="32" t="s">
        <v>299</v>
      </c>
      <c r="BK71" s="33" t="s">
        <v>298</v>
      </c>
      <c r="BL71" s="32" t="s">
        <v>299</v>
      </c>
      <c r="BM71" s="33" t="s">
        <v>298</v>
      </c>
    </row>
    <row r="72" spans="1:65" x14ac:dyDescent="0.25">
      <c r="A72" s="9" t="s">
        <v>267</v>
      </c>
      <c r="B72" s="9"/>
      <c r="C72" s="9"/>
      <c r="D72" s="9"/>
      <c r="E72" s="9"/>
      <c r="F72" s="9"/>
      <c r="G72" s="9"/>
      <c r="H72" s="9">
        <v>7332</v>
      </c>
      <c r="I72" s="9">
        <v>22869</v>
      </c>
      <c r="J72" s="9"/>
      <c r="K72" s="9"/>
      <c r="L72" s="9">
        <v>754</v>
      </c>
      <c r="M72" s="9">
        <v>2178</v>
      </c>
      <c r="N72" s="9">
        <v>1214</v>
      </c>
      <c r="O72" s="9">
        <v>4419</v>
      </c>
      <c r="P72" s="9"/>
      <c r="Q72" s="9"/>
      <c r="R72" s="9">
        <v>93.06</v>
      </c>
      <c r="S72" s="9">
        <v>434.66</v>
      </c>
      <c r="T72" s="9">
        <v>1741.5</v>
      </c>
      <c r="U72" s="9">
        <v>5445.18</v>
      </c>
      <c r="V72" s="9">
        <v>4508</v>
      </c>
      <c r="W72" s="9">
        <v>15006</v>
      </c>
      <c r="X72" s="9">
        <v>17969</v>
      </c>
      <c r="Y72" s="9">
        <v>50032</v>
      </c>
      <c r="Z72" s="9">
        <v>3826</v>
      </c>
      <c r="AA72" s="9">
        <v>12004</v>
      </c>
      <c r="AB72" s="9">
        <v>207</v>
      </c>
      <c r="AC72" s="9">
        <v>621</v>
      </c>
      <c r="AD72" s="9">
        <v>736</v>
      </c>
      <c r="AE72" s="9">
        <v>2489</v>
      </c>
      <c r="AF72" s="9">
        <v>168</v>
      </c>
      <c r="AG72" s="9">
        <v>368</v>
      </c>
      <c r="AH72" s="9"/>
      <c r="AI72" s="9"/>
      <c r="AJ72" s="9">
        <v>8313.65</v>
      </c>
      <c r="AK72" s="9">
        <v>25347.38</v>
      </c>
      <c r="AL72" s="9"/>
      <c r="AM72" s="9"/>
      <c r="AN72" s="9"/>
      <c r="AO72" s="9"/>
      <c r="AP72" s="9">
        <v>76</v>
      </c>
      <c r="AQ72" s="9">
        <v>221</v>
      </c>
      <c r="AR72" s="9">
        <v>3825</v>
      </c>
      <c r="AS72" s="9">
        <v>16821</v>
      </c>
      <c r="AT72" s="9">
        <v>1333</v>
      </c>
      <c r="AU72" s="9">
        <v>4256</v>
      </c>
      <c r="AV72" s="9">
        <v>1799</v>
      </c>
      <c r="AW72" s="9">
        <v>5642</v>
      </c>
      <c r="AX72" s="9">
        <v>429</v>
      </c>
      <c r="AY72" s="9">
        <v>1153</v>
      </c>
      <c r="AZ72" s="9"/>
      <c r="BA72" s="9"/>
      <c r="BB72" s="9">
        <v>4088</v>
      </c>
      <c r="BC72" s="9">
        <v>12080</v>
      </c>
      <c r="BD72" s="9">
        <v>20598</v>
      </c>
      <c r="BE72" s="9">
        <v>73260</v>
      </c>
      <c r="BF72" s="9">
        <v>7424</v>
      </c>
      <c r="BG72" s="9">
        <v>26523</v>
      </c>
      <c r="BH72" s="9">
        <v>10114</v>
      </c>
      <c r="BI72" s="9">
        <v>31427</v>
      </c>
      <c r="BJ72" s="9">
        <v>216</v>
      </c>
      <c r="BK72" s="9">
        <v>876</v>
      </c>
      <c r="BL72" s="46">
        <f t="shared" ref="BL72:BL78" si="12">SUM(B72+D72+F72+H72+J72+L72+N72+P72+R72+T72+V72+X72+Z72+AB72+AD72+AF72+AH72+AJ72+AL72+AN72+AP72+AR72+AT72+AV72+AX72+AZ72+BB72+BD72+BF72+BH72+BJ72)</f>
        <v>96764.209999999992</v>
      </c>
      <c r="BM72" s="46">
        <f t="shared" ref="BM72:BM78" si="13">SUM(C72+E72+G72+I72+K72+M72+O72+Q72+S72+U72+W72+Y72+AA72+AC72+AE72+AG72+AI72+AK72+AM72+AO72+AQ72+AS72+AU72+AW72+AY72+BA72+BC72+BE72+BG72+BI72+BK72)</f>
        <v>313472.21999999997</v>
      </c>
    </row>
    <row r="73" spans="1:65" x14ac:dyDescent="0.25">
      <c r="A73" s="9" t="s">
        <v>268</v>
      </c>
      <c r="B73" s="9"/>
      <c r="C73" s="9"/>
      <c r="D73" s="9"/>
      <c r="E73" s="9"/>
      <c r="F73" s="9"/>
      <c r="G73" s="9"/>
      <c r="H73" s="9">
        <v>112</v>
      </c>
      <c r="I73" s="9">
        <v>349</v>
      </c>
      <c r="J73" s="9"/>
      <c r="K73" s="9"/>
      <c r="L73" s="9">
        <v>53</v>
      </c>
      <c r="M73" s="9">
        <v>205</v>
      </c>
      <c r="N73" s="9">
        <v>246</v>
      </c>
      <c r="O73" s="9">
        <v>1018</v>
      </c>
      <c r="P73" s="9"/>
      <c r="Q73" s="9"/>
      <c r="R73" s="9">
        <v>22.54</v>
      </c>
      <c r="S73" s="9">
        <v>52.7</v>
      </c>
      <c r="T73" s="9">
        <v>43.45</v>
      </c>
      <c r="U73" s="9">
        <v>452.82</v>
      </c>
      <c r="V73" s="9">
        <v>182</v>
      </c>
      <c r="W73" s="9">
        <v>530</v>
      </c>
      <c r="X73" s="9">
        <v>850</v>
      </c>
      <c r="Y73" s="9">
        <v>1791</v>
      </c>
      <c r="Z73" s="9">
        <v>173</v>
      </c>
      <c r="AA73" s="9">
        <v>343</v>
      </c>
      <c r="AB73" s="9">
        <v>17</v>
      </c>
      <c r="AC73" s="9">
        <v>66</v>
      </c>
      <c r="AD73" s="9">
        <v>34</v>
      </c>
      <c r="AE73" s="9">
        <v>63</v>
      </c>
      <c r="AF73" s="9">
        <v>93</v>
      </c>
      <c r="AG73" s="9">
        <v>223</v>
      </c>
      <c r="AH73" s="9"/>
      <c r="AI73" s="9"/>
      <c r="AJ73" s="9">
        <v>423.36</v>
      </c>
      <c r="AK73" s="9">
        <v>1230.19</v>
      </c>
      <c r="AL73" s="9">
        <v>2</v>
      </c>
      <c r="AM73" s="9">
        <v>6</v>
      </c>
      <c r="AN73" s="9"/>
      <c r="AO73" s="9"/>
      <c r="AP73" s="9">
        <v>2</v>
      </c>
      <c r="AQ73" s="9">
        <v>60</v>
      </c>
      <c r="AR73" s="9">
        <v>66</v>
      </c>
      <c r="AS73" s="9">
        <v>215</v>
      </c>
      <c r="AT73" s="9">
        <v>447</v>
      </c>
      <c r="AU73" s="9">
        <v>881</v>
      </c>
      <c r="AV73" s="9">
        <v>16</v>
      </c>
      <c r="AW73" s="9">
        <v>49</v>
      </c>
      <c r="AX73" s="9">
        <v>35</v>
      </c>
      <c r="AY73" s="9">
        <v>166</v>
      </c>
      <c r="AZ73" s="9"/>
      <c r="BA73" s="9"/>
      <c r="BB73" s="9">
        <v>194</v>
      </c>
      <c r="BC73" s="9">
        <v>582</v>
      </c>
      <c r="BD73" s="9">
        <v>844</v>
      </c>
      <c r="BE73" s="9">
        <v>3009</v>
      </c>
      <c r="BF73" s="9">
        <v>5543</v>
      </c>
      <c r="BG73" s="9">
        <v>7414</v>
      </c>
      <c r="BH73" s="9">
        <v>858</v>
      </c>
      <c r="BI73" s="9">
        <v>1282</v>
      </c>
      <c r="BJ73" s="9">
        <v>21</v>
      </c>
      <c r="BK73" s="9">
        <v>61</v>
      </c>
      <c r="BL73" s="46">
        <f t="shared" si="12"/>
        <v>10277.35</v>
      </c>
      <c r="BM73" s="46">
        <f t="shared" si="13"/>
        <v>20048.71</v>
      </c>
    </row>
    <row r="74" spans="1:65" x14ac:dyDescent="0.25">
      <c r="A74" s="9" t="s">
        <v>269</v>
      </c>
      <c r="B74" s="9"/>
      <c r="C74" s="9"/>
      <c r="D74" s="9"/>
      <c r="E74" s="9"/>
      <c r="F74" s="9"/>
      <c r="G74" s="9"/>
      <c r="H74" s="9">
        <v>-6732</v>
      </c>
      <c r="I74" s="9">
        <v>-21058</v>
      </c>
      <c r="J74" s="9"/>
      <c r="K74" s="9"/>
      <c r="L74" s="9">
        <v>472</v>
      </c>
      <c r="M74" s="9">
        <v>1531</v>
      </c>
      <c r="N74" s="9">
        <v>1279</v>
      </c>
      <c r="O74" s="9">
        <v>4828</v>
      </c>
      <c r="P74" s="9"/>
      <c r="Q74" s="9"/>
      <c r="R74" s="9">
        <v>96.31</v>
      </c>
      <c r="S74" s="9">
        <v>417.92</v>
      </c>
      <c r="T74" s="9">
        <v>1332.05</v>
      </c>
      <c r="U74" s="9">
        <v>4426.59</v>
      </c>
      <c r="V74" s="9">
        <v>-3989</v>
      </c>
      <c r="W74" s="9">
        <v>-13121</v>
      </c>
      <c r="X74" s="9">
        <v>13639</v>
      </c>
      <c r="Y74" s="9">
        <v>37015</v>
      </c>
      <c r="Z74" s="9">
        <v>3459</v>
      </c>
      <c r="AA74" s="9">
        <v>10737</v>
      </c>
      <c r="AB74" s="9">
        <v>189</v>
      </c>
      <c r="AC74" s="9">
        <v>542</v>
      </c>
      <c r="AD74" s="9">
        <v>511</v>
      </c>
      <c r="AE74" s="9">
        <v>2009</v>
      </c>
      <c r="AF74" s="9">
        <v>-215</v>
      </c>
      <c r="AG74" s="9">
        <v>-478</v>
      </c>
      <c r="AH74" s="9"/>
      <c r="AI74" s="9"/>
      <c r="AJ74" s="9">
        <v>3705.39</v>
      </c>
      <c r="AK74" s="9">
        <v>9721.1299999999992</v>
      </c>
      <c r="AL74" s="9"/>
      <c r="AM74" s="9"/>
      <c r="AN74" s="9"/>
      <c r="AO74" s="9"/>
      <c r="AP74" s="9">
        <v>70</v>
      </c>
      <c r="AQ74" s="9">
        <v>249</v>
      </c>
      <c r="AR74" s="9">
        <v>2877</v>
      </c>
      <c r="AS74" s="9">
        <v>13135</v>
      </c>
      <c r="AT74" s="9">
        <v>1525</v>
      </c>
      <c r="AU74" s="9">
        <v>4336</v>
      </c>
      <c r="AV74" s="9">
        <v>1231</v>
      </c>
      <c r="AW74" s="9">
        <v>4038</v>
      </c>
      <c r="AX74" s="9">
        <v>300</v>
      </c>
      <c r="AY74" s="9">
        <v>747</v>
      </c>
      <c r="AZ74" s="9"/>
      <c r="BA74" s="9"/>
      <c r="BB74" s="9">
        <v>3339</v>
      </c>
      <c r="BC74" s="9">
        <v>9936</v>
      </c>
      <c r="BD74" s="9">
        <v>12139</v>
      </c>
      <c r="BE74" s="9">
        <v>42744</v>
      </c>
      <c r="BF74" s="9">
        <v>4157</v>
      </c>
      <c r="BG74" s="9">
        <v>14001</v>
      </c>
      <c r="BH74" s="9">
        <v>4757</v>
      </c>
      <c r="BI74" s="9">
        <v>14326</v>
      </c>
      <c r="BJ74" s="9">
        <v>234</v>
      </c>
      <c r="BK74" s="9">
        <v>927</v>
      </c>
      <c r="BL74" s="46">
        <f t="shared" si="12"/>
        <v>44375.75</v>
      </c>
      <c r="BM74" s="46">
        <f t="shared" si="13"/>
        <v>141009.64000000001</v>
      </c>
    </row>
    <row r="75" spans="1:65" s="7" customFormat="1" x14ac:dyDescent="0.25">
      <c r="A75" s="10" t="s">
        <v>270</v>
      </c>
      <c r="B75" s="10"/>
      <c r="C75" s="10"/>
      <c r="D75" s="10"/>
      <c r="E75" s="10"/>
      <c r="F75" s="10"/>
      <c r="G75" s="10"/>
      <c r="H75" s="10">
        <v>712</v>
      </c>
      <c r="I75" s="10">
        <v>2160</v>
      </c>
      <c r="J75" s="10"/>
      <c r="K75" s="10"/>
      <c r="L75" s="10">
        <v>334</v>
      </c>
      <c r="M75" s="10">
        <v>853</v>
      </c>
      <c r="N75" s="10">
        <v>181</v>
      </c>
      <c r="O75" s="10">
        <v>609</v>
      </c>
      <c r="P75" s="10"/>
      <c r="Q75" s="10"/>
      <c r="R75" s="10">
        <v>19.29</v>
      </c>
      <c r="S75" s="10">
        <v>69.44</v>
      </c>
      <c r="T75" s="10">
        <v>452.9</v>
      </c>
      <c r="U75" s="10">
        <v>1471.41</v>
      </c>
      <c r="V75" s="10">
        <v>701</v>
      </c>
      <c r="W75" s="10">
        <v>2415</v>
      </c>
      <c r="X75" s="10">
        <v>5180</v>
      </c>
      <c r="Y75" s="10">
        <v>14808</v>
      </c>
      <c r="Z75" s="10">
        <v>540</v>
      </c>
      <c r="AA75" s="10">
        <v>1610</v>
      </c>
      <c r="AB75" s="10">
        <v>35</v>
      </c>
      <c r="AC75" s="10">
        <v>145</v>
      </c>
      <c r="AD75" s="10">
        <v>258</v>
      </c>
      <c r="AE75" s="10">
        <v>543</v>
      </c>
      <c r="AF75" s="10">
        <v>46</v>
      </c>
      <c r="AG75" s="10">
        <v>112</v>
      </c>
      <c r="AH75" s="10"/>
      <c r="AI75" s="10"/>
      <c r="AJ75" s="10">
        <v>5031.63</v>
      </c>
      <c r="AK75" s="10">
        <v>16856.43</v>
      </c>
      <c r="AL75" s="10">
        <v>2</v>
      </c>
      <c r="AM75" s="10">
        <v>6</v>
      </c>
      <c r="AN75" s="10"/>
      <c r="AO75" s="10"/>
      <c r="AP75" s="10">
        <v>7</v>
      </c>
      <c r="AQ75" s="10">
        <v>33</v>
      </c>
      <c r="AR75" s="10">
        <v>1014</v>
      </c>
      <c r="AS75" s="10">
        <v>3901</v>
      </c>
      <c r="AT75" s="10">
        <v>255</v>
      </c>
      <c r="AU75" s="10">
        <v>801</v>
      </c>
      <c r="AV75" s="10">
        <v>585</v>
      </c>
      <c r="AW75" s="10">
        <v>1653</v>
      </c>
      <c r="AX75" s="10">
        <v>164</v>
      </c>
      <c r="AY75" s="10">
        <v>572</v>
      </c>
      <c r="AZ75" s="10"/>
      <c r="BA75" s="10"/>
      <c r="BB75" s="10">
        <v>943</v>
      </c>
      <c r="BC75" s="10">
        <v>2725</v>
      </c>
      <c r="BD75" s="10">
        <v>9303</v>
      </c>
      <c r="BE75" s="10">
        <v>33525</v>
      </c>
      <c r="BF75" s="10">
        <v>8809</v>
      </c>
      <c r="BG75" s="10">
        <v>19936</v>
      </c>
      <c r="BH75" s="10">
        <v>6214</v>
      </c>
      <c r="BI75" s="10">
        <v>18384</v>
      </c>
      <c r="BJ75" s="10">
        <v>3</v>
      </c>
      <c r="BK75" s="10">
        <v>9</v>
      </c>
      <c r="BL75" s="42">
        <f t="shared" si="12"/>
        <v>40789.82</v>
      </c>
      <c r="BM75" s="42">
        <f t="shared" si="13"/>
        <v>123197.28</v>
      </c>
    </row>
    <row r="76" spans="1:65" x14ac:dyDescent="0.25">
      <c r="A76" s="9" t="s">
        <v>271</v>
      </c>
      <c r="B76" s="9"/>
      <c r="C76" s="9"/>
      <c r="D76" s="9"/>
      <c r="E76" s="9"/>
      <c r="F76" s="9"/>
      <c r="G76" s="9"/>
      <c r="H76" s="9">
        <v>1558</v>
      </c>
      <c r="I76" s="9">
        <v>1640</v>
      </c>
      <c r="J76" s="9"/>
      <c r="K76" s="9"/>
      <c r="L76" s="9">
        <v>695</v>
      </c>
      <c r="M76" s="9">
        <v>691</v>
      </c>
      <c r="N76" s="9">
        <v>580</v>
      </c>
      <c r="O76" s="9">
        <v>283</v>
      </c>
      <c r="P76" s="9"/>
      <c r="Q76" s="9"/>
      <c r="R76" s="9">
        <v>67.13</v>
      </c>
      <c r="S76" s="9">
        <v>53.09</v>
      </c>
      <c r="T76" s="9">
        <v>893.29</v>
      </c>
      <c r="U76" s="9">
        <v>679.63</v>
      </c>
      <c r="V76" s="9">
        <v>1767</v>
      </c>
      <c r="W76" s="9">
        <v>1880</v>
      </c>
      <c r="X76" s="9">
        <v>12444</v>
      </c>
      <c r="Y76" s="9">
        <v>11307</v>
      </c>
      <c r="Z76" s="9"/>
      <c r="AA76" s="9">
        <v>1172</v>
      </c>
      <c r="AB76" s="9">
        <v>87</v>
      </c>
      <c r="AC76" s="9">
        <v>47</v>
      </c>
      <c r="AD76" s="9">
        <v>403</v>
      </c>
      <c r="AE76" s="9">
        <v>521</v>
      </c>
      <c r="AF76" s="9">
        <v>104</v>
      </c>
      <c r="AG76" s="9">
        <v>96</v>
      </c>
      <c r="AH76" s="9"/>
      <c r="AI76" s="9"/>
      <c r="AJ76" s="9"/>
      <c r="AK76" s="9">
        <v>11163.98</v>
      </c>
      <c r="AL76" s="9">
        <v>3</v>
      </c>
      <c r="AM76" s="9">
        <v>3</v>
      </c>
      <c r="AN76" s="9"/>
      <c r="AO76" s="9"/>
      <c r="AP76" s="9">
        <v>31</v>
      </c>
      <c r="AQ76" s="9">
        <v>47</v>
      </c>
      <c r="AR76" s="9">
        <v>2100</v>
      </c>
      <c r="AS76" s="9">
        <v>1528</v>
      </c>
      <c r="AT76" s="9">
        <v>675</v>
      </c>
      <c r="AU76" s="9">
        <v>613</v>
      </c>
      <c r="AV76" s="9">
        <v>1920</v>
      </c>
      <c r="AW76" s="9">
        <v>1824</v>
      </c>
      <c r="AX76" s="9">
        <v>570</v>
      </c>
      <c r="AY76" s="9">
        <v>499</v>
      </c>
      <c r="AZ76" s="9"/>
      <c r="BA76" s="9"/>
      <c r="BB76" s="9">
        <v>2475</v>
      </c>
      <c r="BC76" s="9">
        <v>1871</v>
      </c>
      <c r="BD76" s="9">
        <v>51712</v>
      </c>
      <c r="BE76" s="9">
        <v>43951</v>
      </c>
      <c r="BF76" s="9">
        <v>0</v>
      </c>
      <c r="BG76" s="9">
        <v>0</v>
      </c>
      <c r="BH76" s="9"/>
      <c r="BI76" s="9"/>
      <c r="BJ76" s="9">
        <v>80</v>
      </c>
      <c r="BK76" s="9">
        <v>58</v>
      </c>
      <c r="BL76" s="46">
        <f t="shared" si="12"/>
        <v>78164.42</v>
      </c>
      <c r="BM76" s="46">
        <f t="shared" si="13"/>
        <v>79927.7</v>
      </c>
    </row>
    <row r="77" spans="1:65" x14ac:dyDescent="0.25">
      <c r="A77" s="2" t="s">
        <v>272</v>
      </c>
      <c r="B77" s="9"/>
      <c r="C77" s="9"/>
      <c r="D77" s="9"/>
      <c r="E77" s="9"/>
      <c r="F77" s="9"/>
      <c r="G77" s="9"/>
      <c r="H77" s="9">
        <v>1570</v>
      </c>
      <c r="I77" s="9">
        <v>1570</v>
      </c>
      <c r="J77" s="9"/>
      <c r="K77" s="9"/>
      <c r="L77" s="9">
        <v>740</v>
      </c>
      <c r="M77" s="9">
        <v>740</v>
      </c>
      <c r="N77" s="9">
        <v>613</v>
      </c>
      <c r="O77" s="9">
        <v>613</v>
      </c>
      <c r="P77" s="9"/>
      <c r="Q77" s="9"/>
      <c r="R77" s="9">
        <v>57.01</v>
      </c>
      <c r="S77" s="9">
        <v>57.01</v>
      </c>
      <c r="T77" s="9">
        <v>903.75</v>
      </c>
      <c r="U77" s="9">
        <v>903.75</v>
      </c>
      <c r="V77" s="9">
        <v>-1673</v>
      </c>
      <c r="W77" s="9">
        <v>-1673</v>
      </c>
      <c r="X77" s="9">
        <v>13071</v>
      </c>
      <c r="Y77" s="9">
        <v>13071</v>
      </c>
      <c r="Z77" s="9">
        <v>13</v>
      </c>
      <c r="AA77" s="9">
        <v>1289</v>
      </c>
      <c r="AB77" s="9">
        <v>93</v>
      </c>
      <c r="AC77" s="9">
        <v>93</v>
      </c>
      <c r="AD77" s="9">
        <v>480</v>
      </c>
      <c r="AE77" s="9">
        <v>480</v>
      </c>
      <c r="AF77" s="9">
        <v>-115</v>
      </c>
      <c r="AG77" s="9">
        <v>-115</v>
      </c>
      <c r="AH77" s="9"/>
      <c r="AI77" s="9"/>
      <c r="AJ77" s="9">
        <v>-313.02999999999997</v>
      </c>
      <c r="AK77" s="9">
        <v>11728.55</v>
      </c>
      <c r="AL77" s="9">
        <v>-3</v>
      </c>
      <c r="AM77" s="9">
        <v>-3</v>
      </c>
      <c r="AN77" s="9"/>
      <c r="AO77" s="9"/>
      <c r="AP77" s="9">
        <v>32</v>
      </c>
      <c r="AQ77" s="9">
        <v>32</v>
      </c>
      <c r="AR77" s="9">
        <v>1928</v>
      </c>
      <c r="AS77" s="9">
        <v>1928</v>
      </c>
      <c r="AT77" s="9">
        <v>670</v>
      </c>
      <c r="AU77" s="9">
        <v>670</v>
      </c>
      <c r="AV77" s="9">
        <v>2008</v>
      </c>
      <c r="AW77" s="9">
        <v>2008</v>
      </c>
      <c r="AX77" s="9">
        <v>476</v>
      </c>
      <c r="AY77" s="9">
        <v>476</v>
      </c>
      <c r="AZ77" s="9"/>
      <c r="BA77" s="9"/>
      <c r="BB77" s="9">
        <v>2669</v>
      </c>
      <c r="BC77" s="9">
        <v>2669</v>
      </c>
      <c r="BD77" s="9">
        <v>50046</v>
      </c>
      <c r="BE77" s="9">
        <v>50046</v>
      </c>
      <c r="BF77" s="9">
        <v>1288</v>
      </c>
      <c r="BG77" s="9">
        <v>2401</v>
      </c>
      <c r="BH77" s="9"/>
      <c r="BI77" s="9"/>
      <c r="BJ77" s="9">
        <v>-80</v>
      </c>
      <c r="BK77" s="9">
        <v>-80</v>
      </c>
      <c r="BL77" s="46">
        <f t="shared" si="12"/>
        <v>74473.73</v>
      </c>
      <c r="BM77" s="46">
        <f t="shared" si="13"/>
        <v>88904.31</v>
      </c>
    </row>
    <row r="78" spans="1:65" s="7" customFormat="1" x14ac:dyDescent="0.25">
      <c r="A78" s="10" t="s">
        <v>192</v>
      </c>
      <c r="B78" s="10"/>
      <c r="C78" s="10"/>
      <c r="D78" s="10"/>
      <c r="E78" s="10"/>
      <c r="F78" s="10"/>
      <c r="G78" s="10"/>
      <c r="H78" s="10">
        <v>700</v>
      </c>
      <c r="I78" s="10">
        <v>2230</v>
      </c>
      <c r="J78" s="10"/>
      <c r="K78" s="10"/>
      <c r="L78" s="10">
        <v>289</v>
      </c>
      <c r="M78" s="10">
        <v>803</v>
      </c>
      <c r="N78" s="10">
        <v>148</v>
      </c>
      <c r="O78" s="10">
        <v>279</v>
      </c>
      <c r="P78" s="10"/>
      <c r="Q78" s="10"/>
      <c r="R78" s="10">
        <v>29.41</v>
      </c>
      <c r="S78" s="10">
        <v>65.52</v>
      </c>
      <c r="T78" s="10">
        <v>442.45</v>
      </c>
      <c r="U78" s="10">
        <v>1247.29</v>
      </c>
      <c r="V78" s="10">
        <v>795</v>
      </c>
      <c r="W78" s="10">
        <v>2621</v>
      </c>
      <c r="X78" s="10">
        <v>4553</v>
      </c>
      <c r="Y78" s="10">
        <v>13044</v>
      </c>
      <c r="Z78" s="10">
        <v>527</v>
      </c>
      <c r="AA78" s="10">
        <v>1493</v>
      </c>
      <c r="AB78" s="10">
        <v>29</v>
      </c>
      <c r="AC78" s="10">
        <v>99</v>
      </c>
      <c r="AD78" s="10">
        <v>181</v>
      </c>
      <c r="AE78" s="10">
        <v>584</v>
      </c>
      <c r="AF78" s="10">
        <v>35</v>
      </c>
      <c r="AG78" s="10">
        <v>93</v>
      </c>
      <c r="AH78" s="10"/>
      <c r="AI78" s="10"/>
      <c r="AJ78" s="10">
        <v>5344.66</v>
      </c>
      <c r="AK78" s="10">
        <v>16291.87</v>
      </c>
      <c r="AL78" s="10">
        <v>2</v>
      </c>
      <c r="AM78" s="10">
        <v>6</v>
      </c>
      <c r="AN78" s="10"/>
      <c r="AO78" s="10"/>
      <c r="AP78" s="10">
        <v>6</v>
      </c>
      <c r="AQ78" s="10">
        <v>47</v>
      </c>
      <c r="AR78" s="10">
        <v>1185</v>
      </c>
      <c r="AS78" s="10">
        <v>3501</v>
      </c>
      <c r="AT78" s="10">
        <v>260</v>
      </c>
      <c r="AU78" s="10">
        <v>745</v>
      </c>
      <c r="AV78" s="10">
        <v>497</v>
      </c>
      <c r="AW78" s="10">
        <v>1469</v>
      </c>
      <c r="AX78" s="10">
        <v>259</v>
      </c>
      <c r="AY78" s="10">
        <v>595</v>
      </c>
      <c r="AZ78" s="10"/>
      <c r="BA78" s="10"/>
      <c r="BB78" s="10">
        <v>750</v>
      </c>
      <c r="BC78" s="10">
        <v>1928</v>
      </c>
      <c r="BD78" s="10">
        <v>10970</v>
      </c>
      <c r="BE78" s="10">
        <v>27431</v>
      </c>
      <c r="BF78" s="10">
        <v>7522</v>
      </c>
      <c r="BG78" s="10">
        <v>17535</v>
      </c>
      <c r="BH78" s="10">
        <v>746</v>
      </c>
      <c r="BI78" s="10">
        <v>11340</v>
      </c>
      <c r="BJ78" s="10">
        <v>3</v>
      </c>
      <c r="BK78" s="10">
        <v>-13</v>
      </c>
      <c r="BL78" s="42">
        <f t="shared" si="12"/>
        <v>35273.520000000004</v>
      </c>
      <c r="BM78" s="42">
        <f t="shared" si="13"/>
        <v>103434.68</v>
      </c>
    </row>
    <row r="80" spans="1:65" x14ac:dyDescent="0.25">
      <c r="A80" s="17" t="s">
        <v>188</v>
      </c>
    </row>
    <row r="81" spans="1:65" x14ac:dyDescent="0.25">
      <c r="A81" s="1" t="s">
        <v>0</v>
      </c>
      <c r="B81" s="127" t="s">
        <v>1</v>
      </c>
      <c r="C81" s="128"/>
      <c r="D81" s="127" t="s">
        <v>232</v>
      </c>
      <c r="E81" s="128"/>
      <c r="F81" s="127" t="s">
        <v>2</v>
      </c>
      <c r="G81" s="128"/>
      <c r="H81" s="127" t="s">
        <v>3</v>
      </c>
      <c r="I81" s="128"/>
      <c r="J81" s="127" t="s">
        <v>241</v>
      </c>
      <c r="K81" s="128"/>
      <c r="L81" s="127" t="s">
        <v>233</v>
      </c>
      <c r="M81" s="128"/>
      <c r="N81" s="127" t="s">
        <v>244</v>
      </c>
      <c r="O81" s="128"/>
      <c r="P81" s="127" t="s">
        <v>5</v>
      </c>
      <c r="Q81" s="128"/>
      <c r="R81" s="127" t="s">
        <v>4</v>
      </c>
      <c r="S81" s="128"/>
      <c r="T81" s="127" t="s">
        <v>6</v>
      </c>
      <c r="U81" s="128"/>
      <c r="V81" s="127" t="s">
        <v>7</v>
      </c>
      <c r="W81" s="128"/>
      <c r="X81" s="127" t="s">
        <v>8</v>
      </c>
      <c r="Y81" s="128"/>
      <c r="Z81" s="127" t="s">
        <v>9</v>
      </c>
      <c r="AA81" s="128"/>
      <c r="AB81" s="127" t="s">
        <v>240</v>
      </c>
      <c r="AC81" s="128"/>
      <c r="AD81" s="127" t="s">
        <v>10</v>
      </c>
      <c r="AE81" s="128"/>
      <c r="AF81" s="127" t="s">
        <v>11</v>
      </c>
      <c r="AG81" s="128"/>
      <c r="AH81" s="127" t="s">
        <v>234</v>
      </c>
      <c r="AI81" s="128"/>
      <c r="AJ81" s="127" t="s">
        <v>12</v>
      </c>
      <c r="AK81" s="128"/>
      <c r="AL81" s="127" t="s">
        <v>235</v>
      </c>
      <c r="AM81" s="128"/>
      <c r="AN81" s="127" t="s">
        <v>293</v>
      </c>
      <c r="AO81" s="128"/>
      <c r="AP81" s="127" t="s">
        <v>236</v>
      </c>
      <c r="AQ81" s="128"/>
      <c r="AR81" s="127" t="s">
        <v>239</v>
      </c>
      <c r="AS81" s="128"/>
      <c r="AT81" s="127" t="s">
        <v>13</v>
      </c>
      <c r="AU81" s="128"/>
      <c r="AV81" s="127" t="s">
        <v>14</v>
      </c>
      <c r="AW81" s="128"/>
      <c r="AX81" s="127" t="s">
        <v>15</v>
      </c>
      <c r="AY81" s="128"/>
      <c r="AZ81" s="127" t="s">
        <v>16</v>
      </c>
      <c r="BA81" s="128"/>
      <c r="BB81" s="127" t="s">
        <v>17</v>
      </c>
      <c r="BC81" s="128"/>
      <c r="BD81" s="127" t="s">
        <v>237</v>
      </c>
      <c r="BE81" s="128"/>
      <c r="BF81" s="127" t="s">
        <v>238</v>
      </c>
      <c r="BG81" s="128"/>
      <c r="BH81" s="127" t="s">
        <v>18</v>
      </c>
      <c r="BI81" s="128"/>
      <c r="BJ81" s="127" t="s">
        <v>19</v>
      </c>
      <c r="BK81" s="128"/>
      <c r="BL81" s="129" t="s">
        <v>20</v>
      </c>
      <c r="BM81" s="130"/>
    </row>
    <row r="82" spans="1:65" ht="30" x14ac:dyDescent="0.25">
      <c r="A82" s="1"/>
      <c r="B82" s="32" t="s">
        <v>299</v>
      </c>
      <c r="C82" s="33" t="s">
        <v>298</v>
      </c>
      <c r="D82" s="32" t="s">
        <v>299</v>
      </c>
      <c r="E82" s="33" t="s">
        <v>298</v>
      </c>
      <c r="F82" s="32" t="s">
        <v>299</v>
      </c>
      <c r="G82" s="33" t="s">
        <v>298</v>
      </c>
      <c r="H82" s="32" t="s">
        <v>299</v>
      </c>
      <c r="I82" s="33" t="s">
        <v>298</v>
      </c>
      <c r="J82" s="32" t="s">
        <v>299</v>
      </c>
      <c r="K82" s="33" t="s">
        <v>298</v>
      </c>
      <c r="L82" s="32" t="s">
        <v>299</v>
      </c>
      <c r="M82" s="33" t="s">
        <v>298</v>
      </c>
      <c r="N82" s="32" t="s">
        <v>299</v>
      </c>
      <c r="O82" s="33" t="s">
        <v>298</v>
      </c>
      <c r="P82" s="32" t="s">
        <v>299</v>
      </c>
      <c r="Q82" s="33" t="s">
        <v>298</v>
      </c>
      <c r="R82" s="32" t="s">
        <v>299</v>
      </c>
      <c r="S82" s="33" t="s">
        <v>298</v>
      </c>
      <c r="T82" s="32" t="s">
        <v>299</v>
      </c>
      <c r="U82" s="33" t="s">
        <v>298</v>
      </c>
      <c r="V82" s="32" t="s">
        <v>299</v>
      </c>
      <c r="W82" s="33" t="s">
        <v>298</v>
      </c>
      <c r="X82" s="32" t="s">
        <v>299</v>
      </c>
      <c r="Y82" s="33" t="s">
        <v>298</v>
      </c>
      <c r="Z82" s="32" t="s">
        <v>299</v>
      </c>
      <c r="AA82" s="33" t="s">
        <v>298</v>
      </c>
      <c r="AB82" s="32" t="s">
        <v>299</v>
      </c>
      <c r="AC82" s="33" t="s">
        <v>298</v>
      </c>
      <c r="AD82" s="32" t="s">
        <v>299</v>
      </c>
      <c r="AE82" s="33" t="s">
        <v>298</v>
      </c>
      <c r="AF82" s="32" t="s">
        <v>299</v>
      </c>
      <c r="AG82" s="33" t="s">
        <v>298</v>
      </c>
      <c r="AH82" s="32" t="s">
        <v>299</v>
      </c>
      <c r="AI82" s="33" t="s">
        <v>298</v>
      </c>
      <c r="AJ82" s="32" t="s">
        <v>299</v>
      </c>
      <c r="AK82" s="33" t="s">
        <v>298</v>
      </c>
      <c r="AL82" s="32" t="s">
        <v>299</v>
      </c>
      <c r="AM82" s="33" t="s">
        <v>298</v>
      </c>
      <c r="AN82" s="32" t="s">
        <v>299</v>
      </c>
      <c r="AO82" s="33" t="s">
        <v>298</v>
      </c>
      <c r="AP82" s="32" t="s">
        <v>299</v>
      </c>
      <c r="AQ82" s="33" t="s">
        <v>298</v>
      </c>
      <c r="AR82" s="32" t="s">
        <v>299</v>
      </c>
      <c r="AS82" s="33" t="s">
        <v>298</v>
      </c>
      <c r="AT82" s="32" t="s">
        <v>299</v>
      </c>
      <c r="AU82" s="33" t="s">
        <v>298</v>
      </c>
      <c r="AV82" s="32" t="s">
        <v>299</v>
      </c>
      <c r="AW82" s="33" t="s">
        <v>298</v>
      </c>
      <c r="AX82" s="32" t="s">
        <v>299</v>
      </c>
      <c r="AY82" s="33" t="s">
        <v>298</v>
      </c>
      <c r="AZ82" s="32" t="s">
        <v>299</v>
      </c>
      <c r="BA82" s="33" t="s">
        <v>298</v>
      </c>
      <c r="BB82" s="32" t="s">
        <v>299</v>
      </c>
      <c r="BC82" s="33" t="s">
        <v>298</v>
      </c>
      <c r="BD82" s="32" t="s">
        <v>299</v>
      </c>
      <c r="BE82" s="33" t="s">
        <v>298</v>
      </c>
      <c r="BF82" s="32" t="s">
        <v>299</v>
      </c>
      <c r="BG82" s="33" t="s">
        <v>298</v>
      </c>
      <c r="BH82" s="32" t="s">
        <v>299</v>
      </c>
      <c r="BI82" s="33" t="s">
        <v>298</v>
      </c>
      <c r="BJ82" s="32" t="s">
        <v>299</v>
      </c>
      <c r="BK82" s="33" t="s">
        <v>298</v>
      </c>
      <c r="BL82" s="32" t="s">
        <v>299</v>
      </c>
      <c r="BM82" s="33" t="s">
        <v>298</v>
      </c>
    </row>
    <row r="83" spans="1:65" x14ac:dyDescent="0.25">
      <c r="A83" s="9" t="s">
        <v>267</v>
      </c>
      <c r="B83" s="9"/>
      <c r="C83" s="9"/>
      <c r="D83" s="9"/>
      <c r="E83" s="9"/>
      <c r="F83" s="9"/>
      <c r="G83" s="9"/>
      <c r="H83" s="9">
        <v>376</v>
      </c>
      <c r="I83" s="9">
        <v>929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>
        <v>0.76</v>
      </c>
      <c r="U83" s="9">
        <v>37.44</v>
      </c>
      <c r="V83" s="9">
        <v>738</v>
      </c>
      <c r="W83" s="9">
        <v>1590</v>
      </c>
      <c r="X83" s="9">
        <v>5388</v>
      </c>
      <c r="Y83" s="9">
        <v>13034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>
        <v>916.9</v>
      </c>
      <c r="AK83" s="9">
        <v>3440.94</v>
      </c>
      <c r="AL83" s="9"/>
      <c r="AM83" s="9"/>
      <c r="AN83" s="9"/>
      <c r="AO83" s="9"/>
      <c r="AP83" s="9"/>
      <c r="AQ83" s="9"/>
      <c r="AR83" s="9">
        <v>360</v>
      </c>
      <c r="AS83" s="9">
        <v>2089</v>
      </c>
      <c r="AT83" s="9"/>
      <c r="AU83" s="9"/>
      <c r="AV83" s="9">
        <v>-20</v>
      </c>
      <c r="AW83" s="9">
        <v>-6</v>
      </c>
      <c r="AX83" s="9"/>
      <c r="AY83" s="9"/>
      <c r="AZ83" s="9"/>
      <c r="BA83" s="9"/>
      <c r="BB83" s="9">
        <v>2606</v>
      </c>
      <c r="BC83" s="9">
        <v>6411</v>
      </c>
      <c r="BD83" s="9">
        <v>11415</v>
      </c>
      <c r="BE83" s="9">
        <v>23083</v>
      </c>
      <c r="BF83" s="9">
        <v>3437</v>
      </c>
      <c r="BG83" s="9">
        <v>9375</v>
      </c>
      <c r="BH83" s="9">
        <v>832</v>
      </c>
      <c r="BI83" s="9">
        <v>4661</v>
      </c>
      <c r="BJ83" s="9"/>
      <c r="BK83" s="9"/>
      <c r="BL83" s="46">
        <f t="shared" ref="BL83:BL89" si="14">SUM(B83+D83+F83+H83+J83+L83+N83+P83+R83+T83+V83+X83+Z83+AB83+AD83+AF83+AH83+AJ83+AL83+AN83+AP83+AR83+AT83+AV83+AX83+AZ83+BB83+BD83+BF83+BH83+BJ83)</f>
        <v>26049.66</v>
      </c>
      <c r="BM83" s="46">
        <f t="shared" ref="BM83:BM89" si="15">SUM(C83+E83+G83+I83+K83+M83+O83+Q83+S83+U83+W83+Y83+AA83+AC83+AE83+AG83+AI83+AK83+AM83+AO83+AQ83+AS83+AU83+AW83+AY83+BA83+BC83+BE83+BG83+BI83+BK83)</f>
        <v>64644.380000000005</v>
      </c>
    </row>
    <row r="84" spans="1:65" x14ac:dyDescent="0.25">
      <c r="A84" s="9" t="s">
        <v>268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>
        <v>360</v>
      </c>
      <c r="Y84" s="9">
        <v>732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>
        <v>835.82</v>
      </c>
      <c r="AK84" s="9">
        <v>4457.17</v>
      </c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>
        <v>888</v>
      </c>
      <c r="BE84" s="9">
        <v>6250</v>
      </c>
      <c r="BF84" s="9">
        <v>1376</v>
      </c>
      <c r="BG84" s="9">
        <v>6944</v>
      </c>
      <c r="BH84" s="9">
        <v>129</v>
      </c>
      <c r="BI84" s="9">
        <v>674</v>
      </c>
      <c r="BJ84" s="9"/>
      <c r="BK84" s="9"/>
      <c r="BL84" s="46">
        <f t="shared" si="14"/>
        <v>3588.82</v>
      </c>
      <c r="BM84" s="46">
        <f t="shared" si="15"/>
        <v>19057.169999999998</v>
      </c>
    </row>
    <row r="85" spans="1:65" x14ac:dyDescent="0.25">
      <c r="A85" s="9" t="s">
        <v>269</v>
      </c>
      <c r="B85" s="9"/>
      <c r="C85" s="9"/>
      <c r="D85" s="9"/>
      <c r="E85" s="9"/>
      <c r="F85" s="9"/>
      <c r="G85" s="9"/>
      <c r="H85" s="9">
        <v>-355</v>
      </c>
      <c r="I85" s="9">
        <v>-851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>
        <v>0.04</v>
      </c>
      <c r="U85" s="9">
        <v>1.86</v>
      </c>
      <c r="V85" s="9">
        <v>-738</v>
      </c>
      <c r="W85" s="9">
        <v>-1589</v>
      </c>
      <c r="X85" s="9">
        <v>5534</v>
      </c>
      <c r="Y85" s="9">
        <v>12726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>
        <v>1124.54</v>
      </c>
      <c r="AK85" s="9">
        <v>3448.85</v>
      </c>
      <c r="AL85" s="9"/>
      <c r="AM85" s="9"/>
      <c r="AN85" s="9"/>
      <c r="AO85" s="9"/>
      <c r="AP85" s="9"/>
      <c r="AQ85" s="9"/>
      <c r="AR85" s="9">
        <v>332</v>
      </c>
      <c r="AS85" s="9">
        <v>1262</v>
      </c>
      <c r="AT85" s="9"/>
      <c r="AU85" s="9"/>
      <c r="AV85" s="9">
        <v>-20</v>
      </c>
      <c r="AW85" s="9">
        <v>-6</v>
      </c>
      <c r="AX85" s="9"/>
      <c r="AY85" s="9"/>
      <c r="AZ85" s="9"/>
      <c r="BA85" s="9"/>
      <c r="BB85" s="9">
        <v>3312</v>
      </c>
      <c r="BC85" s="9">
        <v>7117</v>
      </c>
      <c r="BD85" s="9">
        <v>9322</v>
      </c>
      <c r="BE85" s="9">
        <v>21358</v>
      </c>
      <c r="BF85" s="9">
        <v>3660</v>
      </c>
      <c r="BG85" s="9">
        <v>8449</v>
      </c>
      <c r="BH85" s="9">
        <v>708</v>
      </c>
      <c r="BI85" s="9">
        <v>4428</v>
      </c>
      <c r="BJ85" s="9"/>
      <c r="BK85" s="9"/>
      <c r="BL85" s="46">
        <f t="shared" si="14"/>
        <v>22879.58</v>
      </c>
      <c r="BM85" s="46">
        <f t="shared" si="15"/>
        <v>56344.71</v>
      </c>
    </row>
    <row r="86" spans="1:65" s="7" customFormat="1" x14ac:dyDescent="0.25">
      <c r="A86" s="10" t="s">
        <v>270</v>
      </c>
      <c r="B86" s="10"/>
      <c r="C86" s="10"/>
      <c r="D86" s="10"/>
      <c r="E86" s="10"/>
      <c r="F86" s="10"/>
      <c r="G86" s="10"/>
      <c r="H86" s="10">
        <v>21</v>
      </c>
      <c r="I86" s="10">
        <v>78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0.72</v>
      </c>
      <c r="U86" s="10">
        <v>35.58</v>
      </c>
      <c r="V86" s="10"/>
      <c r="W86" s="10">
        <v>1</v>
      </c>
      <c r="X86" s="10">
        <v>214</v>
      </c>
      <c r="Y86" s="10">
        <v>1040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>
        <v>628.17999999999995</v>
      </c>
      <c r="AK86" s="10">
        <v>4449.2700000000004</v>
      </c>
      <c r="AL86" s="10"/>
      <c r="AM86" s="10"/>
      <c r="AN86" s="10"/>
      <c r="AO86" s="10"/>
      <c r="AP86" s="10"/>
      <c r="AQ86" s="10"/>
      <c r="AR86" s="10">
        <v>28</v>
      </c>
      <c r="AS86" s="10">
        <v>827</v>
      </c>
      <c r="AT86" s="10"/>
      <c r="AU86" s="10"/>
      <c r="AV86" s="10">
        <v>0</v>
      </c>
      <c r="AW86" s="10">
        <v>0</v>
      </c>
      <c r="AX86" s="10"/>
      <c r="AY86" s="10"/>
      <c r="AZ86" s="10"/>
      <c r="BA86" s="10"/>
      <c r="BB86" s="10">
        <v>-706</v>
      </c>
      <c r="BC86" s="10">
        <v>-706</v>
      </c>
      <c r="BD86" s="10">
        <v>2982</v>
      </c>
      <c r="BE86" s="10">
        <v>7975</v>
      </c>
      <c r="BF86" s="10">
        <v>1153</v>
      </c>
      <c r="BG86" s="10">
        <v>7870</v>
      </c>
      <c r="BH86" s="10">
        <v>253</v>
      </c>
      <c r="BI86" s="10">
        <v>908</v>
      </c>
      <c r="BJ86" s="10"/>
      <c r="BK86" s="10"/>
      <c r="BL86" s="42">
        <f t="shared" si="14"/>
        <v>4573.8999999999996</v>
      </c>
      <c r="BM86" s="42">
        <f t="shared" si="15"/>
        <v>22477.85</v>
      </c>
    </row>
    <row r="87" spans="1:65" x14ac:dyDescent="0.25">
      <c r="A87" s="9" t="s">
        <v>271</v>
      </c>
      <c r="B87" s="9"/>
      <c r="C87" s="9"/>
      <c r="D87" s="9"/>
      <c r="E87" s="9"/>
      <c r="F87" s="9"/>
      <c r="G87" s="9"/>
      <c r="H87" s="9">
        <v>6</v>
      </c>
      <c r="I87" s="9">
        <v>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>
        <v>175.89</v>
      </c>
      <c r="U87" s="9">
        <v>489.46</v>
      </c>
      <c r="V87" s="9">
        <v>1</v>
      </c>
      <c r="W87" s="9">
        <v>1</v>
      </c>
      <c r="X87" s="9">
        <v>781</v>
      </c>
      <c r="Y87" s="9">
        <v>1126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>
        <v>4260.3599999999997</v>
      </c>
      <c r="AL87" s="9"/>
      <c r="AM87" s="9"/>
      <c r="AN87" s="9"/>
      <c r="AO87" s="9"/>
      <c r="AP87" s="9"/>
      <c r="AQ87" s="9"/>
      <c r="AR87" s="9">
        <v>203</v>
      </c>
      <c r="AS87" s="9">
        <v>10</v>
      </c>
      <c r="AT87" s="9"/>
      <c r="AU87" s="9"/>
      <c r="AV87" s="9">
        <v>0</v>
      </c>
      <c r="AW87" s="9">
        <v>0</v>
      </c>
      <c r="AX87" s="9"/>
      <c r="AY87" s="9"/>
      <c r="AZ87" s="9"/>
      <c r="BA87" s="9"/>
      <c r="BB87" s="9"/>
      <c r="BC87" s="9"/>
      <c r="BD87" s="9">
        <v>8066</v>
      </c>
      <c r="BE87" s="9">
        <v>5726</v>
      </c>
      <c r="BF87" s="9">
        <v>0</v>
      </c>
      <c r="BG87" s="9">
        <v>0</v>
      </c>
      <c r="BH87" s="9"/>
      <c r="BI87" s="9"/>
      <c r="BJ87" s="9"/>
      <c r="BK87" s="9"/>
      <c r="BL87" s="46">
        <f t="shared" si="14"/>
        <v>9232.89</v>
      </c>
      <c r="BM87" s="46">
        <f t="shared" si="15"/>
        <v>11616.82</v>
      </c>
    </row>
    <row r="88" spans="1:65" x14ac:dyDescent="0.25">
      <c r="A88" s="2" t="s">
        <v>272</v>
      </c>
      <c r="B88" s="9"/>
      <c r="C88" s="9"/>
      <c r="D88" s="9"/>
      <c r="E88" s="9"/>
      <c r="F88" s="9"/>
      <c r="G88" s="9"/>
      <c r="H88" s="9">
        <v>4</v>
      </c>
      <c r="I88" s="9">
        <v>4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>
        <v>0.69</v>
      </c>
      <c r="U88" s="9">
        <v>0.69</v>
      </c>
      <c r="V88" s="9">
        <v>-1</v>
      </c>
      <c r="W88" s="9">
        <v>-1</v>
      </c>
      <c r="X88" s="9">
        <v>520</v>
      </c>
      <c r="Y88" s="9">
        <v>520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>
        <v>-739.7</v>
      </c>
      <c r="AK88" s="9">
        <v>3333</v>
      </c>
      <c r="AL88" s="9"/>
      <c r="AM88" s="9"/>
      <c r="AN88" s="9"/>
      <c r="AO88" s="9"/>
      <c r="AP88" s="9"/>
      <c r="AQ88" s="9"/>
      <c r="AR88" s="9">
        <v>10</v>
      </c>
      <c r="AS88" s="9">
        <v>10</v>
      </c>
      <c r="AT88" s="9"/>
      <c r="AU88" s="9"/>
      <c r="AV88" s="9">
        <v>0</v>
      </c>
      <c r="AW88" s="9">
        <v>0</v>
      </c>
      <c r="AX88" s="9"/>
      <c r="AY88" s="9"/>
      <c r="AZ88" s="9"/>
      <c r="BA88" s="9"/>
      <c r="BB88" s="9">
        <v>0</v>
      </c>
      <c r="BC88" s="9">
        <v>0</v>
      </c>
      <c r="BD88" s="9">
        <v>5220</v>
      </c>
      <c r="BE88" s="9">
        <v>5220</v>
      </c>
      <c r="BF88" s="9">
        <v>-251</v>
      </c>
      <c r="BG88" s="9">
        <v>-1314</v>
      </c>
      <c r="BH88" s="9"/>
      <c r="BI88" s="9"/>
      <c r="BJ88" s="9"/>
      <c r="BK88" s="9"/>
      <c r="BL88" s="46">
        <f t="shared" si="14"/>
        <v>4762.99</v>
      </c>
      <c r="BM88" s="46">
        <f t="shared" si="15"/>
        <v>7772.6900000000005</v>
      </c>
    </row>
    <row r="89" spans="1:65" s="7" customFormat="1" x14ac:dyDescent="0.25">
      <c r="A89" s="10" t="s">
        <v>192</v>
      </c>
      <c r="B89" s="10"/>
      <c r="C89" s="10"/>
      <c r="D89" s="10"/>
      <c r="E89" s="10"/>
      <c r="F89" s="10"/>
      <c r="G89" s="10"/>
      <c r="H89" s="10">
        <v>22</v>
      </c>
      <c r="I89" s="10">
        <v>78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>
        <v>175.92</v>
      </c>
      <c r="U89" s="10">
        <v>524.35</v>
      </c>
      <c r="V89" s="10"/>
      <c r="W89" s="10">
        <v>1</v>
      </c>
      <c r="X89" s="10">
        <v>475</v>
      </c>
      <c r="Y89" s="10">
        <v>1646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>
        <v>1367.88</v>
      </c>
      <c r="AK89" s="10">
        <v>5376.63</v>
      </c>
      <c r="AL89" s="10"/>
      <c r="AM89" s="10"/>
      <c r="AN89" s="10"/>
      <c r="AO89" s="10"/>
      <c r="AP89" s="10"/>
      <c r="AQ89" s="10"/>
      <c r="AR89" s="10">
        <v>220</v>
      </c>
      <c r="AS89" s="10">
        <v>827</v>
      </c>
      <c r="AT89" s="10"/>
      <c r="AU89" s="10"/>
      <c r="AV89" s="10">
        <v>0</v>
      </c>
      <c r="AW89" s="10">
        <v>0</v>
      </c>
      <c r="AX89" s="10"/>
      <c r="AY89" s="10"/>
      <c r="AZ89" s="10"/>
      <c r="BA89" s="10"/>
      <c r="BB89" s="10">
        <v>-706</v>
      </c>
      <c r="BC89" s="10">
        <v>-706</v>
      </c>
      <c r="BD89" s="10">
        <v>5828</v>
      </c>
      <c r="BE89" s="10">
        <v>8481</v>
      </c>
      <c r="BF89" s="10">
        <v>1404</v>
      </c>
      <c r="BG89" s="10">
        <v>9183</v>
      </c>
      <c r="BH89" s="10">
        <v>-441</v>
      </c>
      <c r="BI89" s="10">
        <v>522</v>
      </c>
      <c r="BJ89" s="10"/>
      <c r="BK89" s="10"/>
      <c r="BL89" s="42">
        <f t="shared" si="14"/>
        <v>8345.7999999999993</v>
      </c>
      <c r="BM89" s="42">
        <f t="shared" si="15"/>
        <v>25932.98</v>
      </c>
    </row>
    <row r="91" spans="1:65" x14ac:dyDescent="0.25">
      <c r="A91" s="17" t="s">
        <v>242</v>
      </c>
    </row>
    <row r="92" spans="1:65" x14ac:dyDescent="0.25">
      <c r="A92" s="1" t="s">
        <v>0</v>
      </c>
      <c r="B92" s="127" t="s">
        <v>1</v>
      </c>
      <c r="C92" s="128"/>
      <c r="D92" s="127" t="s">
        <v>232</v>
      </c>
      <c r="E92" s="128"/>
      <c r="F92" s="127" t="s">
        <v>2</v>
      </c>
      <c r="G92" s="128"/>
      <c r="H92" s="127" t="s">
        <v>3</v>
      </c>
      <c r="I92" s="128"/>
      <c r="J92" s="127" t="s">
        <v>241</v>
      </c>
      <c r="K92" s="128"/>
      <c r="L92" s="127" t="s">
        <v>233</v>
      </c>
      <c r="M92" s="128"/>
      <c r="N92" s="127" t="s">
        <v>244</v>
      </c>
      <c r="O92" s="128"/>
      <c r="P92" s="127" t="s">
        <v>5</v>
      </c>
      <c r="Q92" s="128"/>
      <c r="R92" s="127" t="s">
        <v>4</v>
      </c>
      <c r="S92" s="128"/>
      <c r="T92" s="127" t="s">
        <v>6</v>
      </c>
      <c r="U92" s="128"/>
      <c r="V92" s="127" t="s">
        <v>7</v>
      </c>
      <c r="W92" s="128"/>
      <c r="X92" s="127" t="s">
        <v>8</v>
      </c>
      <c r="Y92" s="128"/>
      <c r="Z92" s="127" t="s">
        <v>9</v>
      </c>
      <c r="AA92" s="128"/>
      <c r="AB92" s="127" t="s">
        <v>240</v>
      </c>
      <c r="AC92" s="128"/>
      <c r="AD92" s="127" t="s">
        <v>10</v>
      </c>
      <c r="AE92" s="128"/>
      <c r="AF92" s="127" t="s">
        <v>11</v>
      </c>
      <c r="AG92" s="128"/>
      <c r="AH92" s="127" t="s">
        <v>234</v>
      </c>
      <c r="AI92" s="128"/>
      <c r="AJ92" s="127" t="s">
        <v>12</v>
      </c>
      <c r="AK92" s="128"/>
      <c r="AL92" s="127" t="s">
        <v>235</v>
      </c>
      <c r="AM92" s="128"/>
      <c r="AN92" s="127" t="s">
        <v>293</v>
      </c>
      <c r="AO92" s="128"/>
      <c r="AP92" s="127" t="s">
        <v>236</v>
      </c>
      <c r="AQ92" s="128"/>
      <c r="AR92" s="127" t="s">
        <v>239</v>
      </c>
      <c r="AS92" s="128"/>
      <c r="AT92" s="127" t="s">
        <v>13</v>
      </c>
      <c r="AU92" s="128"/>
      <c r="AV92" s="127" t="s">
        <v>14</v>
      </c>
      <c r="AW92" s="128"/>
      <c r="AX92" s="127" t="s">
        <v>15</v>
      </c>
      <c r="AY92" s="128"/>
      <c r="AZ92" s="127" t="s">
        <v>16</v>
      </c>
      <c r="BA92" s="128"/>
      <c r="BB92" s="127" t="s">
        <v>17</v>
      </c>
      <c r="BC92" s="128"/>
      <c r="BD92" s="127" t="s">
        <v>237</v>
      </c>
      <c r="BE92" s="128"/>
      <c r="BF92" s="127" t="s">
        <v>238</v>
      </c>
      <c r="BG92" s="128"/>
      <c r="BH92" s="127" t="s">
        <v>18</v>
      </c>
      <c r="BI92" s="128"/>
      <c r="BJ92" s="127" t="s">
        <v>19</v>
      </c>
      <c r="BK92" s="128"/>
      <c r="BL92" s="129" t="s">
        <v>20</v>
      </c>
      <c r="BM92" s="130"/>
    </row>
    <row r="93" spans="1:65" ht="30" x14ac:dyDescent="0.25">
      <c r="A93" s="1"/>
      <c r="B93" s="32" t="s">
        <v>299</v>
      </c>
      <c r="C93" s="33" t="s">
        <v>298</v>
      </c>
      <c r="D93" s="32" t="s">
        <v>299</v>
      </c>
      <c r="E93" s="33" t="s">
        <v>298</v>
      </c>
      <c r="F93" s="32" t="s">
        <v>299</v>
      </c>
      <c r="G93" s="33" t="s">
        <v>298</v>
      </c>
      <c r="H93" s="32" t="s">
        <v>299</v>
      </c>
      <c r="I93" s="33" t="s">
        <v>298</v>
      </c>
      <c r="J93" s="32" t="s">
        <v>299</v>
      </c>
      <c r="K93" s="33" t="s">
        <v>298</v>
      </c>
      <c r="L93" s="32" t="s">
        <v>299</v>
      </c>
      <c r="M93" s="33" t="s">
        <v>298</v>
      </c>
      <c r="N93" s="32" t="s">
        <v>299</v>
      </c>
      <c r="O93" s="33" t="s">
        <v>298</v>
      </c>
      <c r="P93" s="32" t="s">
        <v>299</v>
      </c>
      <c r="Q93" s="33" t="s">
        <v>298</v>
      </c>
      <c r="R93" s="32" t="s">
        <v>299</v>
      </c>
      <c r="S93" s="33" t="s">
        <v>298</v>
      </c>
      <c r="T93" s="32" t="s">
        <v>299</v>
      </c>
      <c r="U93" s="33" t="s">
        <v>298</v>
      </c>
      <c r="V93" s="32" t="s">
        <v>299</v>
      </c>
      <c r="W93" s="33" t="s">
        <v>298</v>
      </c>
      <c r="X93" s="32" t="s">
        <v>299</v>
      </c>
      <c r="Y93" s="33" t="s">
        <v>298</v>
      </c>
      <c r="Z93" s="32" t="s">
        <v>299</v>
      </c>
      <c r="AA93" s="33" t="s">
        <v>298</v>
      </c>
      <c r="AB93" s="32" t="s">
        <v>299</v>
      </c>
      <c r="AC93" s="33" t="s">
        <v>298</v>
      </c>
      <c r="AD93" s="32" t="s">
        <v>299</v>
      </c>
      <c r="AE93" s="33" t="s">
        <v>298</v>
      </c>
      <c r="AF93" s="32" t="s">
        <v>299</v>
      </c>
      <c r="AG93" s="33" t="s">
        <v>298</v>
      </c>
      <c r="AH93" s="32" t="s">
        <v>299</v>
      </c>
      <c r="AI93" s="33" t="s">
        <v>298</v>
      </c>
      <c r="AJ93" s="32" t="s">
        <v>299</v>
      </c>
      <c r="AK93" s="33" t="s">
        <v>298</v>
      </c>
      <c r="AL93" s="32" t="s">
        <v>299</v>
      </c>
      <c r="AM93" s="33" t="s">
        <v>298</v>
      </c>
      <c r="AN93" s="32" t="s">
        <v>299</v>
      </c>
      <c r="AO93" s="33" t="s">
        <v>298</v>
      </c>
      <c r="AP93" s="32" t="s">
        <v>299</v>
      </c>
      <c r="AQ93" s="33" t="s">
        <v>298</v>
      </c>
      <c r="AR93" s="32" t="s">
        <v>299</v>
      </c>
      <c r="AS93" s="33" t="s">
        <v>298</v>
      </c>
      <c r="AT93" s="32" t="s">
        <v>299</v>
      </c>
      <c r="AU93" s="33" t="s">
        <v>298</v>
      </c>
      <c r="AV93" s="32" t="s">
        <v>299</v>
      </c>
      <c r="AW93" s="33" t="s">
        <v>298</v>
      </c>
      <c r="AX93" s="32" t="s">
        <v>299</v>
      </c>
      <c r="AY93" s="33" t="s">
        <v>298</v>
      </c>
      <c r="AZ93" s="32" t="s">
        <v>299</v>
      </c>
      <c r="BA93" s="33" t="s">
        <v>298</v>
      </c>
      <c r="BB93" s="32" t="s">
        <v>299</v>
      </c>
      <c r="BC93" s="33" t="s">
        <v>298</v>
      </c>
      <c r="BD93" s="32" t="s">
        <v>299</v>
      </c>
      <c r="BE93" s="33" t="s">
        <v>298</v>
      </c>
      <c r="BF93" s="32" t="s">
        <v>299</v>
      </c>
      <c r="BG93" s="33" t="s">
        <v>298</v>
      </c>
      <c r="BH93" s="32" t="s">
        <v>299</v>
      </c>
      <c r="BI93" s="33" t="s">
        <v>298</v>
      </c>
      <c r="BJ93" s="32" t="s">
        <v>299</v>
      </c>
      <c r="BK93" s="33" t="s">
        <v>298</v>
      </c>
      <c r="BL93" s="32" t="s">
        <v>299</v>
      </c>
      <c r="BM93" s="33" t="s">
        <v>298</v>
      </c>
    </row>
    <row r="94" spans="1:65" x14ac:dyDescent="0.25">
      <c r="A94" s="9" t="s">
        <v>267</v>
      </c>
      <c r="B94" s="9"/>
      <c r="C94" s="9"/>
      <c r="D94" s="9"/>
      <c r="E94" s="9"/>
      <c r="F94" s="9">
        <v>219659</v>
      </c>
      <c r="G94" s="9">
        <v>1110152</v>
      </c>
      <c r="H94" s="9">
        <v>72347</v>
      </c>
      <c r="I94" s="9">
        <v>233597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>
        <v>38177.360000000001</v>
      </c>
      <c r="U94" s="9">
        <v>72151.23</v>
      </c>
      <c r="V94" s="9">
        <v>54038</v>
      </c>
      <c r="W94" s="9">
        <v>226110</v>
      </c>
      <c r="X94" s="9">
        <v>7436</v>
      </c>
      <c r="Y94" s="9">
        <v>87357</v>
      </c>
      <c r="Z94" s="9">
        <v>50008</v>
      </c>
      <c r="AA94" s="9">
        <v>82474</v>
      </c>
      <c r="AB94" s="9"/>
      <c r="AC94" s="9"/>
      <c r="AD94" s="9"/>
      <c r="AE94" s="9"/>
      <c r="AF94" s="9"/>
      <c r="AG94" s="9"/>
      <c r="AH94" s="9"/>
      <c r="AI94" s="9"/>
      <c r="AJ94" s="9">
        <v>14459.73</v>
      </c>
      <c r="AK94" s="9">
        <v>16914.830000000002</v>
      </c>
      <c r="AL94" s="9"/>
      <c r="AM94" s="9"/>
      <c r="AN94" s="9"/>
      <c r="AO94" s="9"/>
      <c r="AP94" s="9"/>
      <c r="AQ94" s="9"/>
      <c r="AR94" s="9">
        <v>54933</v>
      </c>
      <c r="AS94" s="9">
        <v>266688</v>
      </c>
      <c r="AT94" s="9"/>
      <c r="AU94" s="9"/>
      <c r="AV94" s="9">
        <v>8393</v>
      </c>
      <c r="AW94" s="9">
        <v>161017</v>
      </c>
      <c r="AX94" s="9"/>
      <c r="AY94" s="9"/>
      <c r="AZ94" s="9"/>
      <c r="BA94" s="9"/>
      <c r="BB94" s="9">
        <v>163</v>
      </c>
      <c r="BC94" s="9">
        <v>386</v>
      </c>
      <c r="BD94" s="9">
        <v>-54</v>
      </c>
      <c r="BE94" s="9">
        <v>1312</v>
      </c>
      <c r="BF94" s="9"/>
      <c r="BG94" s="9">
        <v>565</v>
      </c>
      <c r="BH94" s="9">
        <v>33880</v>
      </c>
      <c r="BI94" s="9">
        <v>57193</v>
      </c>
      <c r="BJ94" s="9">
        <v>45513</v>
      </c>
      <c r="BK94" s="9">
        <v>108164</v>
      </c>
      <c r="BL94" s="46">
        <f t="shared" ref="BL94:BL100" si="16">SUM(B94+D94+F94+H94+J94+L94+N94+P94+R94+T94+V94+X94+Z94+AB94+AD94+AF94+AH94+AJ94+AL94+AN94+AP94+AR94+AT94+AV94+AX94+AZ94+BB94+BD94+BF94+BH94+BJ94)</f>
        <v>598953.09</v>
      </c>
      <c r="BM94" s="46">
        <f t="shared" ref="BM94:BM100" si="17">SUM(C94+E94+G94+I94+K94+M94+O94+Q94+S94+U94+W94+Y94+AA94+AC94+AE94+AG94+AI94+AK94+AM94+AO94+AQ94+AS94+AU94+AW94+AY94+BA94+BC94+BE94+BG94+BI94+BK94)</f>
        <v>2424081.06</v>
      </c>
    </row>
    <row r="95" spans="1:65" x14ac:dyDescent="0.25">
      <c r="A95" s="9" t="s">
        <v>268</v>
      </c>
      <c r="B95" s="9"/>
      <c r="C95" s="9"/>
      <c r="D95" s="9"/>
      <c r="E95" s="9"/>
      <c r="F95" s="9">
        <v>10</v>
      </c>
      <c r="G95" s="9">
        <v>55</v>
      </c>
      <c r="H95" s="9"/>
      <c r="I95" s="9"/>
      <c r="J95" s="9"/>
      <c r="K95" s="9"/>
      <c r="L95" s="9"/>
      <c r="M95" s="9"/>
      <c r="N95" s="9">
        <v>2573</v>
      </c>
      <c r="O95" s="9">
        <v>4858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>
        <v>0</v>
      </c>
      <c r="BE95" s="9">
        <v>1</v>
      </c>
      <c r="BF95" s="9"/>
      <c r="BG95" s="9">
        <v>0</v>
      </c>
      <c r="BH95" s="9"/>
      <c r="BI95" s="9"/>
      <c r="BJ95" s="9"/>
      <c r="BK95" s="9"/>
      <c r="BL95" s="46">
        <f t="shared" si="16"/>
        <v>2583</v>
      </c>
      <c r="BM95" s="46">
        <f t="shared" si="17"/>
        <v>4914</v>
      </c>
    </row>
    <row r="96" spans="1:65" x14ac:dyDescent="0.25">
      <c r="A96" s="9" t="s">
        <v>269</v>
      </c>
      <c r="B96" s="9"/>
      <c r="C96" s="9"/>
      <c r="D96" s="9"/>
      <c r="E96" s="9"/>
      <c r="F96" s="9">
        <v>114678</v>
      </c>
      <c r="G96" s="9">
        <v>597214</v>
      </c>
      <c r="H96" s="9">
        <v>-58803</v>
      </c>
      <c r="I96" s="9">
        <v>-189854</v>
      </c>
      <c r="J96" s="9"/>
      <c r="K96" s="9"/>
      <c r="L96" s="9"/>
      <c r="M96" s="9"/>
      <c r="N96" s="9"/>
      <c r="O96" s="9">
        <v>449</v>
      </c>
      <c r="P96" s="9"/>
      <c r="Q96" s="9"/>
      <c r="R96" s="9"/>
      <c r="S96" s="9"/>
      <c r="T96" s="9">
        <v>30519.63</v>
      </c>
      <c r="U96" s="9">
        <v>57634.12</v>
      </c>
      <c r="V96" s="9">
        <v>-41489</v>
      </c>
      <c r="W96" s="9">
        <v>-154856</v>
      </c>
      <c r="X96" s="9">
        <v>5529</v>
      </c>
      <c r="Y96" s="9">
        <v>63415</v>
      </c>
      <c r="Z96" s="9">
        <v>39169</v>
      </c>
      <c r="AA96" s="9">
        <v>64751</v>
      </c>
      <c r="AB96" s="9"/>
      <c r="AC96" s="9"/>
      <c r="AD96" s="9"/>
      <c r="AE96" s="9"/>
      <c r="AF96" s="9"/>
      <c r="AG96" s="9"/>
      <c r="AH96" s="9"/>
      <c r="AI96" s="9"/>
      <c r="AJ96" s="9">
        <v>582.20000000000005</v>
      </c>
      <c r="AK96" s="9">
        <v>4759.79</v>
      </c>
      <c r="AL96" s="9"/>
      <c r="AM96" s="9"/>
      <c r="AN96" s="9"/>
      <c r="AO96" s="9"/>
      <c r="AP96" s="9"/>
      <c r="AQ96" s="9"/>
      <c r="AR96" s="9">
        <v>31202</v>
      </c>
      <c r="AS96" s="9">
        <v>159852</v>
      </c>
      <c r="AT96" s="9"/>
      <c r="AU96" s="9"/>
      <c r="AV96" s="9">
        <v>6592</v>
      </c>
      <c r="AW96" s="9">
        <v>126557</v>
      </c>
      <c r="AX96" s="9"/>
      <c r="AY96" s="9"/>
      <c r="AZ96" s="9"/>
      <c r="BA96" s="9"/>
      <c r="BB96" s="9">
        <v>149</v>
      </c>
      <c r="BC96" s="9">
        <v>359</v>
      </c>
      <c r="BD96" s="9">
        <v>-3777</v>
      </c>
      <c r="BE96" s="9">
        <v>-3111</v>
      </c>
      <c r="BF96" s="9"/>
      <c r="BG96" s="9">
        <v>40</v>
      </c>
      <c r="BH96" s="9">
        <v>1358</v>
      </c>
      <c r="BI96" s="9">
        <v>2662</v>
      </c>
      <c r="BJ96" s="9">
        <v>36776</v>
      </c>
      <c r="BK96" s="9">
        <v>87043</v>
      </c>
      <c r="BL96" s="46">
        <f t="shared" si="16"/>
        <v>162485.83000000002</v>
      </c>
      <c r="BM96" s="46">
        <f t="shared" si="17"/>
        <v>816914.90999999992</v>
      </c>
    </row>
    <row r="97" spans="1:65" s="7" customFormat="1" x14ac:dyDescent="0.25">
      <c r="A97" s="10" t="s">
        <v>270</v>
      </c>
      <c r="B97" s="10"/>
      <c r="C97" s="10"/>
      <c r="D97" s="10"/>
      <c r="E97" s="10"/>
      <c r="F97" s="10">
        <v>104991</v>
      </c>
      <c r="G97" s="10">
        <v>512993</v>
      </c>
      <c r="H97" s="10">
        <v>13544</v>
      </c>
      <c r="I97" s="10">
        <v>43743</v>
      </c>
      <c r="J97" s="10"/>
      <c r="K97" s="10"/>
      <c r="L97" s="10"/>
      <c r="M97" s="10"/>
      <c r="N97" s="10">
        <v>2573</v>
      </c>
      <c r="O97" s="10">
        <v>4409</v>
      </c>
      <c r="P97" s="10"/>
      <c r="Q97" s="10"/>
      <c r="R97" s="10"/>
      <c r="S97" s="10"/>
      <c r="T97" s="10">
        <v>7657.73</v>
      </c>
      <c r="U97" s="10">
        <v>14517.11</v>
      </c>
      <c r="V97" s="10">
        <v>12549</v>
      </c>
      <c r="W97" s="10">
        <v>71254</v>
      </c>
      <c r="X97" s="10">
        <v>1907</v>
      </c>
      <c r="Y97" s="10">
        <v>23942</v>
      </c>
      <c r="Z97" s="10">
        <v>10839</v>
      </c>
      <c r="AA97" s="10">
        <v>17723</v>
      </c>
      <c r="AB97" s="10"/>
      <c r="AC97" s="10"/>
      <c r="AD97" s="10"/>
      <c r="AE97" s="10"/>
      <c r="AF97" s="10"/>
      <c r="AG97" s="10"/>
      <c r="AH97" s="10"/>
      <c r="AI97" s="10"/>
      <c r="AJ97" s="10">
        <v>13877.53</v>
      </c>
      <c r="AK97" s="10">
        <v>12155.05</v>
      </c>
      <c r="AL97" s="10"/>
      <c r="AM97" s="10"/>
      <c r="AN97" s="10"/>
      <c r="AO97" s="10"/>
      <c r="AP97" s="10"/>
      <c r="AQ97" s="10"/>
      <c r="AR97" s="10">
        <v>23732</v>
      </c>
      <c r="AS97" s="10">
        <v>106836</v>
      </c>
      <c r="AT97" s="10"/>
      <c r="AU97" s="10"/>
      <c r="AV97" s="10">
        <v>1801</v>
      </c>
      <c r="AW97" s="10">
        <v>34461</v>
      </c>
      <c r="AX97" s="10"/>
      <c r="AY97" s="10"/>
      <c r="AZ97" s="10"/>
      <c r="BA97" s="10"/>
      <c r="BB97" s="10">
        <v>15</v>
      </c>
      <c r="BC97" s="10">
        <v>26</v>
      </c>
      <c r="BD97" s="10">
        <v>3723</v>
      </c>
      <c r="BE97" s="10">
        <v>4424</v>
      </c>
      <c r="BF97" s="10"/>
      <c r="BG97" s="10">
        <v>525</v>
      </c>
      <c r="BH97" s="10">
        <v>32522</v>
      </c>
      <c r="BI97" s="10">
        <v>54532</v>
      </c>
      <c r="BJ97" s="10">
        <v>8737</v>
      </c>
      <c r="BK97" s="10">
        <v>21121</v>
      </c>
      <c r="BL97" s="42">
        <f t="shared" si="16"/>
        <v>238468.25999999998</v>
      </c>
      <c r="BM97" s="42">
        <f t="shared" si="17"/>
        <v>922661.16</v>
      </c>
    </row>
    <row r="98" spans="1:65" x14ac:dyDescent="0.25">
      <c r="A98" s="9" t="s">
        <v>271</v>
      </c>
      <c r="B98" s="9"/>
      <c r="C98" s="9"/>
      <c r="D98" s="9"/>
      <c r="E98" s="9"/>
      <c r="F98" s="9">
        <v>59459</v>
      </c>
      <c r="G98" s="9">
        <v>65517</v>
      </c>
      <c r="H98" s="9">
        <v>11105</v>
      </c>
      <c r="I98" s="9">
        <v>1455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>
        <v>2704.37</v>
      </c>
      <c r="U98" s="9">
        <v>994</v>
      </c>
      <c r="V98" s="9">
        <v>21639</v>
      </c>
      <c r="W98" s="9">
        <v>3407</v>
      </c>
      <c r="X98" s="9">
        <v>3285</v>
      </c>
      <c r="Y98" s="9"/>
      <c r="Z98" s="9"/>
      <c r="AA98" s="9">
        <v>1228</v>
      </c>
      <c r="AB98" s="9"/>
      <c r="AC98" s="9"/>
      <c r="AD98" s="9"/>
      <c r="AE98" s="9"/>
      <c r="AF98" s="9"/>
      <c r="AG98" s="9"/>
      <c r="AH98" s="9"/>
      <c r="AI98" s="9"/>
      <c r="AJ98" s="9"/>
      <c r="AK98" s="9">
        <v>2360.39</v>
      </c>
      <c r="AL98" s="9"/>
      <c r="AM98" s="9"/>
      <c r="AN98" s="9"/>
      <c r="AO98" s="9"/>
      <c r="AP98" s="9"/>
      <c r="AQ98" s="9"/>
      <c r="AR98" s="9">
        <v>23846</v>
      </c>
      <c r="AS98" s="9">
        <v>0</v>
      </c>
      <c r="AT98" s="9"/>
      <c r="AU98" s="9"/>
      <c r="AV98" s="9">
        <v>19471</v>
      </c>
      <c r="AW98" s="9">
        <v>4881</v>
      </c>
      <c r="AX98" s="9"/>
      <c r="AY98" s="9"/>
      <c r="AZ98" s="9"/>
      <c r="BA98" s="9"/>
      <c r="BB98" s="9">
        <v>8</v>
      </c>
      <c r="BC98" s="9">
        <v>12</v>
      </c>
      <c r="BD98" s="9">
        <v>0</v>
      </c>
      <c r="BE98" s="9">
        <v>0</v>
      </c>
      <c r="BF98" s="9"/>
      <c r="BG98" s="9">
        <v>0</v>
      </c>
      <c r="BH98" s="9"/>
      <c r="BI98" s="9"/>
      <c r="BJ98" s="9">
        <v>5487</v>
      </c>
      <c r="BK98" s="9">
        <v>1175</v>
      </c>
      <c r="BL98" s="46">
        <f t="shared" si="16"/>
        <v>147004.37</v>
      </c>
      <c r="BM98" s="46">
        <f t="shared" si="17"/>
        <v>81029.39</v>
      </c>
    </row>
    <row r="99" spans="1:65" x14ac:dyDescent="0.25">
      <c r="A99" s="2" t="s">
        <v>272</v>
      </c>
      <c r="B99" s="9"/>
      <c r="C99" s="9"/>
      <c r="D99" s="9"/>
      <c r="E99" s="9"/>
      <c r="F99" s="9">
        <v>42773</v>
      </c>
      <c r="G99" s="9">
        <v>42773</v>
      </c>
      <c r="H99" s="9">
        <v>7534</v>
      </c>
      <c r="I99" s="9">
        <v>7534</v>
      </c>
      <c r="J99" s="9"/>
      <c r="K99" s="9"/>
      <c r="L99" s="9"/>
      <c r="M99" s="9"/>
      <c r="N99" s="9">
        <v>466</v>
      </c>
      <c r="O99" s="9">
        <v>466</v>
      </c>
      <c r="P99" s="9"/>
      <c r="Q99" s="9"/>
      <c r="R99" s="9"/>
      <c r="S99" s="9"/>
      <c r="T99" s="9">
        <v>0.71</v>
      </c>
      <c r="U99" s="9">
        <v>0.71</v>
      </c>
      <c r="V99" s="9">
        <v>-6913</v>
      </c>
      <c r="W99" s="9">
        <v>-6913</v>
      </c>
      <c r="X99" s="9">
        <v>723</v>
      </c>
      <c r="Y99" s="9">
        <v>723</v>
      </c>
      <c r="Z99" s="9">
        <v>7964</v>
      </c>
      <c r="AA99" s="9">
        <v>8580</v>
      </c>
      <c r="AB99" s="9"/>
      <c r="AC99" s="9"/>
      <c r="AD99" s="9"/>
      <c r="AE99" s="9"/>
      <c r="AF99" s="9"/>
      <c r="AG99" s="9"/>
      <c r="AH99" s="9"/>
      <c r="AI99" s="9"/>
      <c r="AJ99" s="9">
        <v>4.3600000000000003</v>
      </c>
      <c r="AK99" s="9">
        <v>2189.86</v>
      </c>
      <c r="AL99" s="9"/>
      <c r="AM99" s="9"/>
      <c r="AN99" s="9"/>
      <c r="AO99" s="9"/>
      <c r="AP99" s="9"/>
      <c r="AQ99" s="9"/>
      <c r="AR99" s="9">
        <v>6165</v>
      </c>
      <c r="AS99" s="9">
        <v>6165</v>
      </c>
      <c r="AT99" s="9"/>
      <c r="AU99" s="9"/>
      <c r="AV99" s="9">
        <v>8246</v>
      </c>
      <c r="AW99" s="9">
        <v>8246</v>
      </c>
      <c r="AX99" s="9"/>
      <c r="AY99" s="9"/>
      <c r="AZ99" s="9"/>
      <c r="BA99" s="9"/>
      <c r="BB99" s="9">
        <v>17</v>
      </c>
      <c r="BC99" s="9">
        <v>17</v>
      </c>
      <c r="BD99" s="9">
        <v>0</v>
      </c>
      <c r="BE99" s="9">
        <v>0</v>
      </c>
      <c r="BF99" s="9"/>
      <c r="BG99" s="9">
        <v>-8908</v>
      </c>
      <c r="BH99" s="9"/>
      <c r="BI99" s="9"/>
      <c r="BJ99" s="9">
        <v>0</v>
      </c>
      <c r="BK99" s="9">
        <v>0</v>
      </c>
      <c r="BL99" s="46">
        <f t="shared" si="16"/>
        <v>66980.070000000007</v>
      </c>
      <c r="BM99" s="46">
        <f t="shared" si="17"/>
        <v>60873.570000000007</v>
      </c>
    </row>
    <row r="100" spans="1:65" s="7" customFormat="1" x14ac:dyDescent="0.25">
      <c r="A100" s="10" t="s">
        <v>192</v>
      </c>
      <c r="B100" s="10"/>
      <c r="C100" s="10"/>
      <c r="D100" s="10"/>
      <c r="E100" s="10"/>
      <c r="F100" s="10">
        <v>121677</v>
      </c>
      <c r="G100" s="10">
        <v>535736</v>
      </c>
      <c r="H100" s="10">
        <v>17115</v>
      </c>
      <c r="I100" s="10">
        <v>37664</v>
      </c>
      <c r="J100" s="10"/>
      <c r="K100" s="10"/>
      <c r="L100" s="10"/>
      <c r="M100" s="10"/>
      <c r="N100" s="10">
        <v>2107</v>
      </c>
      <c r="O100" s="10">
        <v>3943</v>
      </c>
      <c r="P100" s="10"/>
      <c r="Q100" s="10"/>
      <c r="R100" s="10"/>
      <c r="S100" s="10"/>
      <c r="T100" s="10">
        <v>10361.39</v>
      </c>
      <c r="U100" s="10">
        <v>15510.4</v>
      </c>
      <c r="V100" s="10">
        <v>27275</v>
      </c>
      <c r="W100" s="10">
        <v>67748</v>
      </c>
      <c r="X100" s="10">
        <v>4469</v>
      </c>
      <c r="Y100" s="10">
        <v>23219</v>
      </c>
      <c r="Z100" s="10">
        <v>2875</v>
      </c>
      <c r="AA100" s="10">
        <v>10371</v>
      </c>
      <c r="AB100" s="10"/>
      <c r="AC100" s="10"/>
      <c r="AD100" s="10"/>
      <c r="AE100" s="10"/>
      <c r="AF100" s="10"/>
      <c r="AG100" s="10"/>
      <c r="AH100" s="10"/>
      <c r="AI100" s="10"/>
      <c r="AJ100" s="10">
        <v>13873.17</v>
      </c>
      <c r="AK100" s="10">
        <v>12325.57</v>
      </c>
      <c r="AL100" s="10"/>
      <c r="AM100" s="10"/>
      <c r="AN100" s="10"/>
      <c r="AO100" s="10"/>
      <c r="AP100" s="10"/>
      <c r="AQ100" s="10"/>
      <c r="AR100" s="10">
        <v>41413</v>
      </c>
      <c r="AS100" s="10">
        <v>100671</v>
      </c>
      <c r="AT100" s="10"/>
      <c r="AU100" s="10"/>
      <c r="AV100" s="10">
        <v>13026</v>
      </c>
      <c r="AW100" s="10">
        <v>31096</v>
      </c>
      <c r="AX100" s="10"/>
      <c r="AY100" s="10"/>
      <c r="AZ100" s="10"/>
      <c r="BA100" s="10"/>
      <c r="BB100" s="10">
        <v>6</v>
      </c>
      <c r="BC100" s="10">
        <v>21</v>
      </c>
      <c r="BD100" s="10">
        <v>3723</v>
      </c>
      <c r="BE100" s="10">
        <v>4423</v>
      </c>
      <c r="BF100" s="10"/>
      <c r="BG100" s="10">
        <v>9433</v>
      </c>
      <c r="BH100" s="10">
        <v>41435</v>
      </c>
      <c r="BI100" s="10">
        <v>52729</v>
      </c>
      <c r="BJ100" s="10">
        <v>14224</v>
      </c>
      <c r="BK100" s="10">
        <v>22296</v>
      </c>
      <c r="BL100" s="42">
        <f t="shared" si="16"/>
        <v>313579.56000000006</v>
      </c>
      <c r="BM100" s="42">
        <f t="shared" si="17"/>
        <v>927185.97</v>
      </c>
    </row>
    <row r="102" spans="1:65" x14ac:dyDescent="0.25">
      <c r="A102" s="17" t="s">
        <v>189</v>
      </c>
    </row>
    <row r="103" spans="1:65" x14ac:dyDescent="0.25">
      <c r="A103" s="1" t="s">
        <v>0</v>
      </c>
      <c r="B103" s="127" t="s">
        <v>1</v>
      </c>
      <c r="C103" s="128"/>
      <c r="D103" s="127" t="s">
        <v>232</v>
      </c>
      <c r="E103" s="128"/>
      <c r="F103" s="127" t="s">
        <v>2</v>
      </c>
      <c r="G103" s="128"/>
      <c r="H103" s="127" t="s">
        <v>3</v>
      </c>
      <c r="I103" s="128"/>
      <c r="J103" s="127" t="s">
        <v>241</v>
      </c>
      <c r="K103" s="128"/>
      <c r="L103" s="127" t="s">
        <v>233</v>
      </c>
      <c r="M103" s="128"/>
      <c r="N103" s="127" t="s">
        <v>244</v>
      </c>
      <c r="O103" s="128"/>
      <c r="P103" s="127" t="s">
        <v>5</v>
      </c>
      <c r="Q103" s="128"/>
      <c r="R103" s="127" t="s">
        <v>4</v>
      </c>
      <c r="S103" s="128"/>
      <c r="T103" s="127" t="s">
        <v>6</v>
      </c>
      <c r="U103" s="128"/>
      <c r="V103" s="127" t="s">
        <v>7</v>
      </c>
      <c r="W103" s="128"/>
      <c r="X103" s="127" t="s">
        <v>8</v>
      </c>
      <c r="Y103" s="128"/>
      <c r="Z103" s="127" t="s">
        <v>9</v>
      </c>
      <c r="AA103" s="128"/>
      <c r="AB103" s="127" t="s">
        <v>240</v>
      </c>
      <c r="AC103" s="128"/>
      <c r="AD103" s="127" t="s">
        <v>10</v>
      </c>
      <c r="AE103" s="128"/>
      <c r="AF103" s="127" t="s">
        <v>11</v>
      </c>
      <c r="AG103" s="128"/>
      <c r="AH103" s="127" t="s">
        <v>234</v>
      </c>
      <c r="AI103" s="128"/>
      <c r="AJ103" s="127" t="s">
        <v>12</v>
      </c>
      <c r="AK103" s="128"/>
      <c r="AL103" s="127" t="s">
        <v>235</v>
      </c>
      <c r="AM103" s="128"/>
      <c r="AN103" s="127" t="s">
        <v>293</v>
      </c>
      <c r="AO103" s="128"/>
      <c r="AP103" s="127" t="s">
        <v>236</v>
      </c>
      <c r="AQ103" s="128"/>
      <c r="AR103" s="127" t="s">
        <v>239</v>
      </c>
      <c r="AS103" s="128"/>
      <c r="AT103" s="127" t="s">
        <v>13</v>
      </c>
      <c r="AU103" s="128"/>
      <c r="AV103" s="127" t="s">
        <v>14</v>
      </c>
      <c r="AW103" s="128"/>
      <c r="AX103" s="127" t="s">
        <v>15</v>
      </c>
      <c r="AY103" s="128"/>
      <c r="AZ103" s="127" t="s">
        <v>16</v>
      </c>
      <c r="BA103" s="128"/>
      <c r="BB103" s="127" t="s">
        <v>17</v>
      </c>
      <c r="BC103" s="128"/>
      <c r="BD103" s="127" t="s">
        <v>237</v>
      </c>
      <c r="BE103" s="128"/>
      <c r="BF103" s="127" t="s">
        <v>238</v>
      </c>
      <c r="BG103" s="128"/>
      <c r="BH103" s="127" t="s">
        <v>18</v>
      </c>
      <c r="BI103" s="128"/>
      <c r="BJ103" s="127" t="s">
        <v>19</v>
      </c>
      <c r="BK103" s="128"/>
      <c r="BL103" s="129" t="s">
        <v>20</v>
      </c>
      <c r="BM103" s="130"/>
    </row>
    <row r="104" spans="1:65" ht="30" x14ac:dyDescent="0.25">
      <c r="A104" s="1"/>
      <c r="B104" s="32" t="s">
        <v>299</v>
      </c>
      <c r="C104" s="33" t="s">
        <v>298</v>
      </c>
      <c r="D104" s="32" t="s">
        <v>299</v>
      </c>
      <c r="E104" s="33" t="s">
        <v>298</v>
      </c>
      <c r="F104" s="32" t="s">
        <v>299</v>
      </c>
      <c r="G104" s="33" t="s">
        <v>298</v>
      </c>
      <c r="H104" s="32" t="s">
        <v>299</v>
      </c>
      <c r="I104" s="33" t="s">
        <v>298</v>
      </c>
      <c r="J104" s="32" t="s">
        <v>299</v>
      </c>
      <c r="K104" s="33" t="s">
        <v>298</v>
      </c>
      <c r="L104" s="32" t="s">
        <v>299</v>
      </c>
      <c r="M104" s="33" t="s">
        <v>298</v>
      </c>
      <c r="N104" s="32" t="s">
        <v>299</v>
      </c>
      <c r="O104" s="33" t="s">
        <v>298</v>
      </c>
      <c r="P104" s="32" t="s">
        <v>299</v>
      </c>
      <c r="Q104" s="33" t="s">
        <v>298</v>
      </c>
      <c r="R104" s="32" t="s">
        <v>299</v>
      </c>
      <c r="S104" s="33" t="s">
        <v>298</v>
      </c>
      <c r="T104" s="32" t="s">
        <v>299</v>
      </c>
      <c r="U104" s="33" t="s">
        <v>298</v>
      </c>
      <c r="V104" s="32" t="s">
        <v>299</v>
      </c>
      <c r="W104" s="33" t="s">
        <v>298</v>
      </c>
      <c r="X104" s="32" t="s">
        <v>299</v>
      </c>
      <c r="Y104" s="33" t="s">
        <v>298</v>
      </c>
      <c r="Z104" s="32" t="s">
        <v>299</v>
      </c>
      <c r="AA104" s="33" t="s">
        <v>298</v>
      </c>
      <c r="AB104" s="32" t="s">
        <v>299</v>
      </c>
      <c r="AC104" s="33" t="s">
        <v>298</v>
      </c>
      <c r="AD104" s="32" t="s">
        <v>299</v>
      </c>
      <c r="AE104" s="33" t="s">
        <v>298</v>
      </c>
      <c r="AF104" s="32" t="s">
        <v>299</v>
      </c>
      <c r="AG104" s="33" t="s">
        <v>298</v>
      </c>
      <c r="AH104" s="32" t="s">
        <v>299</v>
      </c>
      <c r="AI104" s="33" t="s">
        <v>298</v>
      </c>
      <c r="AJ104" s="32" t="s">
        <v>299</v>
      </c>
      <c r="AK104" s="33" t="s">
        <v>298</v>
      </c>
      <c r="AL104" s="32" t="s">
        <v>299</v>
      </c>
      <c r="AM104" s="33" t="s">
        <v>298</v>
      </c>
      <c r="AN104" s="32" t="s">
        <v>299</v>
      </c>
      <c r="AO104" s="33" t="s">
        <v>298</v>
      </c>
      <c r="AP104" s="32" t="s">
        <v>299</v>
      </c>
      <c r="AQ104" s="33" t="s">
        <v>298</v>
      </c>
      <c r="AR104" s="32" t="s">
        <v>299</v>
      </c>
      <c r="AS104" s="33" t="s">
        <v>298</v>
      </c>
      <c r="AT104" s="32" t="s">
        <v>299</v>
      </c>
      <c r="AU104" s="33" t="s">
        <v>298</v>
      </c>
      <c r="AV104" s="32" t="s">
        <v>299</v>
      </c>
      <c r="AW104" s="33" t="s">
        <v>298</v>
      </c>
      <c r="AX104" s="32" t="s">
        <v>299</v>
      </c>
      <c r="AY104" s="33" t="s">
        <v>298</v>
      </c>
      <c r="AZ104" s="32" t="s">
        <v>299</v>
      </c>
      <c r="BA104" s="33" t="s">
        <v>298</v>
      </c>
      <c r="BB104" s="32" t="s">
        <v>299</v>
      </c>
      <c r="BC104" s="33" t="s">
        <v>298</v>
      </c>
      <c r="BD104" s="32" t="s">
        <v>299</v>
      </c>
      <c r="BE104" s="33" t="s">
        <v>298</v>
      </c>
      <c r="BF104" s="32" t="s">
        <v>299</v>
      </c>
      <c r="BG104" s="33" t="s">
        <v>298</v>
      </c>
      <c r="BH104" s="32" t="s">
        <v>299</v>
      </c>
      <c r="BI104" s="33" t="s">
        <v>298</v>
      </c>
      <c r="BJ104" s="32" t="s">
        <v>299</v>
      </c>
      <c r="BK104" s="33" t="s">
        <v>298</v>
      </c>
      <c r="BL104" s="32" t="s">
        <v>299</v>
      </c>
      <c r="BM104" s="33" t="s">
        <v>298</v>
      </c>
    </row>
    <row r="105" spans="1:65" x14ac:dyDescent="0.25">
      <c r="A105" s="9" t="s">
        <v>267</v>
      </c>
      <c r="B105" s="9">
        <f>B116-B94-B83-B72-B61-B50-B39-B28-B17-B6</f>
        <v>1840</v>
      </c>
      <c r="C105" s="9">
        <f t="shared" ref="C105:BK105" si="18">C116-C94-C83-C72-C61-C50-C39-C28-C17-C6</f>
        <v>4564</v>
      </c>
      <c r="D105" s="9">
        <f t="shared" si="18"/>
        <v>1729</v>
      </c>
      <c r="E105" s="9">
        <f t="shared" si="18"/>
        <v>5440</v>
      </c>
      <c r="F105" s="9">
        <f t="shared" si="18"/>
        <v>0</v>
      </c>
      <c r="G105" s="9">
        <f t="shared" si="18"/>
        <v>0</v>
      </c>
      <c r="H105" s="9">
        <f t="shared" si="18"/>
        <v>28042</v>
      </c>
      <c r="I105" s="9">
        <f t="shared" si="18"/>
        <v>91211</v>
      </c>
      <c r="J105" s="9">
        <f t="shared" si="18"/>
        <v>2367</v>
      </c>
      <c r="K105" s="9">
        <f t="shared" si="18"/>
        <v>10081</v>
      </c>
      <c r="L105" s="9">
        <f t="shared" si="18"/>
        <v>2812</v>
      </c>
      <c r="M105" s="9">
        <f t="shared" si="18"/>
        <v>7263</v>
      </c>
      <c r="N105" s="9">
        <f t="shared" si="18"/>
        <v>9464</v>
      </c>
      <c r="O105" s="9">
        <f t="shared" si="18"/>
        <v>69607</v>
      </c>
      <c r="P105" s="9">
        <f t="shared" si="18"/>
        <v>29965.73</v>
      </c>
      <c r="Q105" s="9">
        <f t="shared" ref="Q105" si="19">Q116-Q94-Q83-Q72-Q61-Q50-Q39-Q28-Q17-Q6</f>
        <v>83252.320000000007</v>
      </c>
      <c r="R105" s="9">
        <f t="shared" si="18"/>
        <v>1107.1500000000019</v>
      </c>
      <c r="S105" s="9">
        <f t="shared" si="18"/>
        <v>2551.0699999999915</v>
      </c>
      <c r="T105" s="9">
        <f t="shared" si="18"/>
        <v>8447.34</v>
      </c>
      <c r="U105" s="9">
        <f t="shared" si="18"/>
        <v>24548.510000000046</v>
      </c>
      <c r="V105" s="9">
        <f t="shared" si="18"/>
        <v>20729</v>
      </c>
      <c r="W105" s="9">
        <f t="shared" si="18"/>
        <v>64871</v>
      </c>
      <c r="X105" s="9">
        <f t="shared" si="18"/>
        <v>36990</v>
      </c>
      <c r="Y105" s="9">
        <f t="shared" si="18"/>
        <v>110470</v>
      </c>
      <c r="Z105" s="9">
        <f t="shared" si="18"/>
        <v>17361</v>
      </c>
      <c r="AA105" s="9">
        <f t="shared" si="18"/>
        <v>51961</v>
      </c>
      <c r="AB105" s="9">
        <f t="shared" si="18"/>
        <v>993</v>
      </c>
      <c r="AC105" s="9">
        <f t="shared" si="18"/>
        <v>2686</v>
      </c>
      <c r="AD105" s="9">
        <f t="shared" si="18"/>
        <v>2103</v>
      </c>
      <c r="AE105" s="9">
        <f t="shared" si="18"/>
        <v>7065</v>
      </c>
      <c r="AF105" s="9">
        <f t="shared" si="18"/>
        <v>991</v>
      </c>
      <c r="AG105" s="9">
        <f t="shared" si="18"/>
        <v>3280</v>
      </c>
      <c r="AH105" s="9">
        <f t="shared" si="18"/>
        <v>43.940000000002328</v>
      </c>
      <c r="AI105" s="9">
        <f t="shared" si="18"/>
        <v>114.1200000000099</v>
      </c>
      <c r="AJ105" s="9">
        <f t="shared" si="18"/>
        <v>6644.3699999999408</v>
      </c>
      <c r="AK105" s="9">
        <f t="shared" si="18"/>
        <v>30155.820000000036</v>
      </c>
      <c r="AL105" s="9">
        <f t="shared" si="18"/>
        <v>2</v>
      </c>
      <c r="AM105" s="9">
        <f t="shared" si="18"/>
        <v>2</v>
      </c>
      <c r="AN105" s="9">
        <f t="shared" si="18"/>
        <v>151</v>
      </c>
      <c r="AO105" s="9">
        <f t="shared" si="18"/>
        <v>402</v>
      </c>
      <c r="AP105" s="9">
        <f t="shared" si="18"/>
        <v>100</v>
      </c>
      <c r="AQ105" s="9">
        <f t="shared" ref="AQ105" si="20">AQ116-AQ94-AQ83-AQ72-AQ61-AQ50-AQ39-AQ28-AQ17-AQ6</f>
        <v>236</v>
      </c>
      <c r="AR105" s="9">
        <f t="shared" si="18"/>
        <v>4584</v>
      </c>
      <c r="AS105" s="9">
        <f t="shared" si="18"/>
        <v>15965</v>
      </c>
      <c r="AT105" s="9">
        <f t="shared" si="18"/>
        <v>543</v>
      </c>
      <c r="AU105" s="9">
        <f t="shared" si="18"/>
        <v>1652</v>
      </c>
      <c r="AV105" s="9">
        <f t="shared" si="18"/>
        <v>5119</v>
      </c>
      <c r="AW105" s="9">
        <f t="shared" si="18"/>
        <v>13441</v>
      </c>
      <c r="AX105" s="9">
        <f t="shared" si="18"/>
        <v>485</v>
      </c>
      <c r="AY105" s="9">
        <f t="shared" si="18"/>
        <v>1371</v>
      </c>
      <c r="AZ105" s="9">
        <f t="shared" si="18"/>
        <v>41</v>
      </c>
      <c r="BA105" s="9">
        <f t="shared" si="18"/>
        <v>130</v>
      </c>
      <c r="BB105" s="9">
        <f t="shared" si="18"/>
        <v>17277</v>
      </c>
      <c r="BC105" s="9">
        <f t="shared" si="18"/>
        <v>52820</v>
      </c>
      <c r="BD105" s="9">
        <f t="shared" si="18"/>
        <v>32809</v>
      </c>
      <c r="BE105" s="9">
        <f t="shared" si="18"/>
        <v>131953</v>
      </c>
      <c r="BF105" s="9">
        <f t="shared" si="18"/>
        <v>13254</v>
      </c>
      <c r="BG105" s="9">
        <f t="shared" si="18"/>
        <v>40774</v>
      </c>
      <c r="BH105" s="9">
        <f t="shared" si="18"/>
        <v>11368</v>
      </c>
      <c r="BI105" s="9">
        <f t="shared" si="18"/>
        <v>36291</v>
      </c>
      <c r="BJ105" s="9">
        <f t="shared" si="18"/>
        <v>1398</v>
      </c>
      <c r="BK105" s="9">
        <f t="shared" si="18"/>
        <v>3756</v>
      </c>
      <c r="BL105" s="46">
        <f t="shared" ref="BL105:BL111" si="21">SUM(B105+D105+F105+H105+J105+L105+N105+P105+R105+T105+V105+X105+Z105+AB105+AD105+AF105+AH105+AJ105+AL105+AN105+AP105+AR105+AT105+AV105+AX105+AZ105+BB105+BD105+BF105+BH105+BJ105)</f>
        <v>258760.52999999994</v>
      </c>
      <c r="BM105" s="46">
        <f t="shared" ref="BM105:BM111" si="22">SUM(C105+E105+G105+I105+K105+M105+O105+Q105+S105+U105+W105+Y105+AA105+AC105+AE105+AG105+AI105+AK105+AM105+AO105+AQ105+AS105+AU105+AW105+AY105+BA105+BC105+BE105+BG105+BI105+BK105)</f>
        <v>867913.8400000002</v>
      </c>
    </row>
    <row r="106" spans="1:65" x14ac:dyDescent="0.25">
      <c r="A106" s="9" t="s">
        <v>268</v>
      </c>
      <c r="B106" s="9">
        <f>B117-B95-B84-B73-B62-B51-B40-B29-B18-B7</f>
        <v>0</v>
      </c>
      <c r="C106" s="9">
        <f t="shared" ref="C106:BK106" si="23">C117-C95-C84-C73-C62-C51-C40-C29-C18-C7</f>
        <v>0</v>
      </c>
      <c r="D106" s="9">
        <f t="shared" si="23"/>
        <v>0</v>
      </c>
      <c r="E106" s="9">
        <f t="shared" si="23"/>
        <v>0</v>
      </c>
      <c r="F106" s="9">
        <f t="shared" si="23"/>
        <v>0</v>
      </c>
      <c r="G106" s="9">
        <f t="shared" si="23"/>
        <v>0</v>
      </c>
      <c r="H106" s="9">
        <f t="shared" si="23"/>
        <v>23</v>
      </c>
      <c r="I106" s="9">
        <f t="shared" si="23"/>
        <v>14</v>
      </c>
      <c r="J106" s="9">
        <f t="shared" si="23"/>
        <v>0</v>
      </c>
      <c r="K106" s="9">
        <f t="shared" si="23"/>
        <v>0</v>
      </c>
      <c r="L106" s="9">
        <f t="shared" si="23"/>
        <v>-1</v>
      </c>
      <c r="M106" s="9">
        <f t="shared" si="23"/>
        <v>0</v>
      </c>
      <c r="N106" s="9">
        <f t="shared" si="23"/>
        <v>3654</v>
      </c>
      <c r="O106" s="9">
        <f t="shared" si="23"/>
        <v>9530</v>
      </c>
      <c r="P106" s="9">
        <f t="shared" si="23"/>
        <v>0</v>
      </c>
      <c r="Q106" s="9">
        <f t="shared" ref="Q106" si="24">Q117-Q95-Q84-Q73-Q62-Q51-Q40-Q29-Q18-Q7</f>
        <v>0</v>
      </c>
      <c r="R106" s="9">
        <f t="shared" si="23"/>
        <v>0</v>
      </c>
      <c r="S106" s="9">
        <f t="shared" si="23"/>
        <v>0</v>
      </c>
      <c r="T106" s="9">
        <f t="shared" si="23"/>
        <v>-9.9999999999909051E-3</v>
      </c>
      <c r="U106" s="9">
        <f t="shared" si="23"/>
        <v>0</v>
      </c>
      <c r="V106" s="9">
        <f t="shared" si="23"/>
        <v>1856</v>
      </c>
      <c r="W106" s="9">
        <f t="shared" si="23"/>
        <v>3248</v>
      </c>
      <c r="X106" s="9">
        <f t="shared" si="23"/>
        <v>498</v>
      </c>
      <c r="Y106" s="9">
        <f t="shared" si="23"/>
        <v>2112</v>
      </c>
      <c r="Z106" s="9">
        <f t="shared" si="23"/>
        <v>0</v>
      </c>
      <c r="AA106" s="9">
        <f t="shared" si="23"/>
        <v>7</v>
      </c>
      <c r="AB106" s="9">
        <f t="shared" si="23"/>
        <v>9</v>
      </c>
      <c r="AC106" s="9">
        <f t="shared" si="23"/>
        <v>40</v>
      </c>
      <c r="AD106" s="9">
        <f t="shared" si="23"/>
        <v>1</v>
      </c>
      <c r="AE106" s="9">
        <f t="shared" si="23"/>
        <v>0</v>
      </c>
      <c r="AF106" s="9">
        <f t="shared" si="23"/>
        <v>0</v>
      </c>
      <c r="AG106" s="9">
        <f t="shared" si="23"/>
        <v>24</v>
      </c>
      <c r="AH106" s="9">
        <f t="shared" si="23"/>
        <v>0</v>
      </c>
      <c r="AI106" s="9">
        <f t="shared" si="23"/>
        <v>0</v>
      </c>
      <c r="AJ106" s="9">
        <f t="shared" si="23"/>
        <v>654.80999999999949</v>
      </c>
      <c r="AK106" s="9">
        <f t="shared" si="23"/>
        <v>798.34000000000015</v>
      </c>
      <c r="AL106" s="9">
        <f t="shared" si="23"/>
        <v>0</v>
      </c>
      <c r="AM106" s="9">
        <f t="shared" si="23"/>
        <v>0</v>
      </c>
      <c r="AN106" s="9">
        <f t="shared" si="23"/>
        <v>0</v>
      </c>
      <c r="AO106" s="9">
        <f t="shared" si="23"/>
        <v>0</v>
      </c>
      <c r="AP106" s="9">
        <f t="shared" si="23"/>
        <v>0</v>
      </c>
      <c r="AQ106" s="9">
        <f t="shared" ref="AQ106" si="25">AQ117-AQ95-AQ84-AQ73-AQ62-AQ51-AQ40-AQ29-AQ18-AQ7</f>
        <v>0</v>
      </c>
      <c r="AR106" s="9">
        <f t="shared" si="23"/>
        <v>0</v>
      </c>
      <c r="AS106" s="9">
        <f t="shared" si="23"/>
        <v>29</v>
      </c>
      <c r="AT106" s="9">
        <f t="shared" si="23"/>
        <v>0</v>
      </c>
      <c r="AU106" s="9">
        <f t="shared" si="23"/>
        <v>1</v>
      </c>
      <c r="AV106" s="9">
        <f t="shared" si="23"/>
        <v>-1</v>
      </c>
      <c r="AW106" s="9">
        <f t="shared" si="23"/>
        <v>0</v>
      </c>
      <c r="AX106" s="9">
        <f t="shared" si="23"/>
        <v>0</v>
      </c>
      <c r="AY106" s="9">
        <f t="shared" si="23"/>
        <v>22</v>
      </c>
      <c r="AZ106" s="9">
        <f t="shared" si="23"/>
        <v>0</v>
      </c>
      <c r="BA106" s="9">
        <f t="shared" si="23"/>
        <v>0</v>
      </c>
      <c r="BB106" s="9">
        <f t="shared" si="23"/>
        <v>-1</v>
      </c>
      <c r="BC106" s="9">
        <f t="shared" si="23"/>
        <v>56</v>
      </c>
      <c r="BD106" s="9">
        <f t="shared" si="23"/>
        <v>2207</v>
      </c>
      <c r="BE106" s="9">
        <f t="shared" si="23"/>
        <v>2392</v>
      </c>
      <c r="BF106" s="9">
        <f t="shared" si="23"/>
        <v>0</v>
      </c>
      <c r="BG106" s="9">
        <f t="shared" si="23"/>
        <v>143</v>
      </c>
      <c r="BH106" s="9">
        <f t="shared" si="23"/>
        <v>57</v>
      </c>
      <c r="BI106" s="9">
        <f t="shared" si="23"/>
        <v>13</v>
      </c>
      <c r="BJ106" s="9">
        <f t="shared" si="23"/>
        <v>0</v>
      </c>
      <c r="BK106" s="9">
        <f t="shared" si="23"/>
        <v>18</v>
      </c>
      <c r="BL106" s="46">
        <f t="shared" si="21"/>
        <v>8956.7999999999993</v>
      </c>
      <c r="BM106" s="46">
        <f t="shared" si="22"/>
        <v>18447.34</v>
      </c>
    </row>
    <row r="107" spans="1:65" x14ac:dyDescent="0.25">
      <c r="A107" s="9" t="s">
        <v>269</v>
      </c>
      <c r="B107" s="9">
        <f t="shared" ref="B107:P111" si="26">B118-B96-B85-B74-B63-B52-B41-B30-B19-B8</f>
        <v>480</v>
      </c>
      <c r="C107" s="9">
        <f t="shared" si="26"/>
        <v>1127</v>
      </c>
      <c r="D107" s="9">
        <f t="shared" si="26"/>
        <v>90</v>
      </c>
      <c r="E107" s="9">
        <f t="shared" si="26"/>
        <v>238</v>
      </c>
      <c r="F107" s="9">
        <f t="shared" si="26"/>
        <v>0</v>
      </c>
      <c r="G107" s="9">
        <f t="shared" si="26"/>
        <v>0</v>
      </c>
      <c r="H107" s="9">
        <f t="shared" si="26"/>
        <v>-15074</v>
      </c>
      <c r="I107" s="9">
        <f t="shared" si="26"/>
        <v>-55773</v>
      </c>
      <c r="J107" s="9">
        <f t="shared" si="26"/>
        <v>95</v>
      </c>
      <c r="K107" s="9">
        <f t="shared" si="26"/>
        <v>541</v>
      </c>
      <c r="L107" s="9">
        <f t="shared" si="26"/>
        <v>306</v>
      </c>
      <c r="M107" s="9">
        <f t="shared" si="26"/>
        <v>612</v>
      </c>
      <c r="N107" s="9">
        <f t="shared" si="26"/>
        <v>6158</v>
      </c>
      <c r="O107" s="9">
        <f t="shared" si="26"/>
        <v>39642</v>
      </c>
      <c r="P107" s="9">
        <f t="shared" si="26"/>
        <v>5533.02</v>
      </c>
      <c r="Q107" s="9">
        <f t="shared" ref="Q107" si="27">Q118-Q96-Q85-Q74-Q63-Q52-Q41-Q30-Q19-Q8</f>
        <v>15530.54</v>
      </c>
      <c r="R107" s="9">
        <f t="shared" ref="R107:BK107" si="28">R118-R96-R85-R74-R63-R52-R41-R30-R19-R8</f>
        <v>144.30999999999972</v>
      </c>
      <c r="S107" s="9">
        <f t="shared" si="28"/>
        <v>367.27999999999929</v>
      </c>
      <c r="T107" s="9">
        <f t="shared" si="28"/>
        <v>2835.3899999999994</v>
      </c>
      <c r="U107" s="9">
        <f t="shared" si="28"/>
        <v>8810.8499999999913</v>
      </c>
      <c r="V107" s="9">
        <f t="shared" si="28"/>
        <v>-15259</v>
      </c>
      <c r="W107" s="9">
        <f t="shared" si="28"/>
        <v>-44475</v>
      </c>
      <c r="X107" s="9">
        <f t="shared" si="28"/>
        <v>20036</v>
      </c>
      <c r="Y107" s="9">
        <f t="shared" si="28"/>
        <v>50445</v>
      </c>
      <c r="Z107" s="9">
        <f t="shared" si="28"/>
        <v>6503</v>
      </c>
      <c r="AA107" s="9">
        <f t="shared" si="28"/>
        <v>20022</v>
      </c>
      <c r="AB107" s="9">
        <f t="shared" si="28"/>
        <v>570</v>
      </c>
      <c r="AC107" s="9">
        <f t="shared" si="28"/>
        <v>1479</v>
      </c>
      <c r="AD107" s="9">
        <f t="shared" si="28"/>
        <v>794</v>
      </c>
      <c r="AE107" s="9">
        <f t="shared" si="28"/>
        <v>3545</v>
      </c>
      <c r="AF107" s="9">
        <f t="shared" si="28"/>
        <v>-926</v>
      </c>
      <c r="AG107" s="9">
        <f t="shared" si="28"/>
        <v>-3111</v>
      </c>
      <c r="AH107" s="9">
        <f t="shared" si="28"/>
        <v>1.7500000000002274</v>
      </c>
      <c r="AI107" s="9">
        <f t="shared" si="28"/>
        <v>4.7899999999995089</v>
      </c>
      <c r="AJ107" s="9">
        <f t="shared" si="28"/>
        <v>651.06000000000131</v>
      </c>
      <c r="AK107" s="9">
        <f t="shared" si="28"/>
        <v>3600.4799999999814</v>
      </c>
      <c r="AL107" s="9">
        <f t="shared" si="28"/>
        <v>0</v>
      </c>
      <c r="AM107" s="9">
        <f t="shared" si="28"/>
        <v>0</v>
      </c>
      <c r="AN107" s="9">
        <f t="shared" si="28"/>
        <v>88</v>
      </c>
      <c r="AO107" s="9">
        <f t="shared" si="28"/>
        <v>217</v>
      </c>
      <c r="AP107" s="9">
        <f t="shared" si="28"/>
        <v>33</v>
      </c>
      <c r="AQ107" s="9">
        <f t="shared" ref="AQ107" si="29">AQ118-AQ96-AQ85-AQ74-AQ63-AQ52-AQ41-AQ30-AQ19-AQ8</f>
        <v>84</v>
      </c>
      <c r="AR107" s="9">
        <f t="shared" si="28"/>
        <v>649</v>
      </c>
      <c r="AS107" s="9">
        <f t="shared" si="28"/>
        <v>3014</v>
      </c>
      <c r="AT107" s="9">
        <f t="shared" si="28"/>
        <v>281</v>
      </c>
      <c r="AU107" s="9">
        <f t="shared" si="28"/>
        <v>747</v>
      </c>
      <c r="AV107" s="9">
        <f t="shared" si="28"/>
        <v>2377</v>
      </c>
      <c r="AW107" s="9">
        <f t="shared" si="28"/>
        <v>5159</v>
      </c>
      <c r="AX107" s="9">
        <f t="shared" si="28"/>
        <v>172</v>
      </c>
      <c r="AY107" s="9">
        <f t="shared" si="28"/>
        <v>496</v>
      </c>
      <c r="AZ107" s="9">
        <f t="shared" si="28"/>
        <v>40</v>
      </c>
      <c r="BA107" s="9">
        <f t="shared" si="28"/>
        <v>98</v>
      </c>
      <c r="BB107" s="9">
        <f t="shared" si="28"/>
        <v>6240</v>
      </c>
      <c r="BC107" s="9">
        <f t="shared" si="28"/>
        <v>17069</v>
      </c>
      <c r="BD107" s="9">
        <f t="shared" si="28"/>
        <v>5742</v>
      </c>
      <c r="BE107" s="9">
        <f t="shared" si="28"/>
        <v>44757</v>
      </c>
      <c r="BF107" s="9">
        <f t="shared" si="28"/>
        <v>208</v>
      </c>
      <c r="BG107" s="9">
        <f t="shared" si="28"/>
        <v>4112</v>
      </c>
      <c r="BH107" s="9">
        <f t="shared" si="28"/>
        <v>1557</v>
      </c>
      <c r="BI107" s="9">
        <f t="shared" si="28"/>
        <v>6670</v>
      </c>
      <c r="BJ107" s="9">
        <f t="shared" si="28"/>
        <v>711</v>
      </c>
      <c r="BK107" s="9">
        <f t="shared" si="28"/>
        <v>1906</v>
      </c>
      <c r="BL107" s="46">
        <f t="shared" si="21"/>
        <v>31036.53</v>
      </c>
      <c r="BM107" s="46">
        <f t="shared" si="22"/>
        <v>126934.93999999997</v>
      </c>
    </row>
    <row r="108" spans="1:65" s="7" customFormat="1" x14ac:dyDescent="0.25">
      <c r="A108" s="10" t="s">
        <v>270</v>
      </c>
      <c r="B108" s="9">
        <f t="shared" si="26"/>
        <v>1360</v>
      </c>
      <c r="C108" s="9">
        <f t="shared" si="26"/>
        <v>3437</v>
      </c>
      <c r="D108" s="9">
        <f t="shared" si="26"/>
        <v>1639</v>
      </c>
      <c r="E108" s="9">
        <f t="shared" si="26"/>
        <v>5203</v>
      </c>
      <c r="F108" s="9">
        <f t="shared" si="26"/>
        <v>0</v>
      </c>
      <c r="G108" s="9">
        <f t="shared" si="26"/>
        <v>0</v>
      </c>
      <c r="H108" s="9">
        <f t="shared" si="26"/>
        <v>12989</v>
      </c>
      <c r="I108" s="9">
        <f t="shared" si="26"/>
        <v>35452</v>
      </c>
      <c r="J108" s="9">
        <f t="shared" si="26"/>
        <v>2272</v>
      </c>
      <c r="K108" s="9">
        <f t="shared" si="26"/>
        <v>9540</v>
      </c>
      <c r="L108" s="9">
        <f t="shared" si="26"/>
        <v>2505</v>
      </c>
      <c r="M108" s="9">
        <f t="shared" si="26"/>
        <v>6652</v>
      </c>
      <c r="N108" s="9">
        <f t="shared" si="26"/>
        <v>6960</v>
      </c>
      <c r="O108" s="9">
        <f t="shared" si="26"/>
        <v>39495</v>
      </c>
      <c r="P108" s="9">
        <f t="shared" si="26"/>
        <v>24432.71</v>
      </c>
      <c r="Q108" s="9">
        <f t="shared" ref="Q108" si="30">Q119-Q97-Q86-Q75-Q64-Q53-Q42-Q31-Q20-Q9</f>
        <v>67721.78</v>
      </c>
      <c r="R108" s="9">
        <f t="shared" ref="R108:BK108" si="31">R119-R97-R86-R75-R64-R53-R42-R31-R20-R9</f>
        <v>962.83999999999833</v>
      </c>
      <c r="S108" s="9">
        <f t="shared" si="31"/>
        <v>2183.640000000004</v>
      </c>
      <c r="T108" s="9">
        <f t="shared" si="31"/>
        <v>5611.9499999999989</v>
      </c>
      <c r="U108" s="9">
        <f t="shared" si="31"/>
        <v>15737.640000000041</v>
      </c>
      <c r="V108" s="9">
        <f t="shared" si="31"/>
        <v>7325</v>
      </c>
      <c r="W108" s="9">
        <f t="shared" si="31"/>
        <v>23645</v>
      </c>
      <c r="X108" s="9">
        <f t="shared" si="31"/>
        <v>17452</v>
      </c>
      <c r="Y108" s="9">
        <f t="shared" si="31"/>
        <v>62137</v>
      </c>
      <c r="Z108" s="9">
        <f t="shared" si="31"/>
        <v>10858</v>
      </c>
      <c r="AA108" s="9">
        <f t="shared" si="31"/>
        <v>31946</v>
      </c>
      <c r="AB108" s="9">
        <f t="shared" si="31"/>
        <v>431</v>
      </c>
      <c r="AC108" s="9">
        <f t="shared" si="31"/>
        <v>1248</v>
      </c>
      <c r="AD108" s="9">
        <f t="shared" si="31"/>
        <v>1310</v>
      </c>
      <c r="AE108" s="9">
        <f t="shared" si="31"/>
        <v>3521</v>
      </c>
      <c r="AF108" s="9">
        <f t="shared" si="31"/>
        <v>63</v>
      </c>
      <c r="AG108" s="9">
        <f t="shared" si="31"/>
        <v>195</v>
      </c>
      <c r="AH108" s="9">
        <f t="shared" si="31"/>
        <v>42.18999999999869</v>
      </c>
      <c r="AI108" s="9">
        <f t="shared" si="31"/>
        <v>109.33000000000175</v>
      </c>
      <c r="AJ108" s="9">
        <f t="shared" si="31"/>
        <v>6648.1100000000679</v>
      </c>
      <c r="AK108" s="9">
        <f t="shared" si="31"/>
        <v>27353.669999999969</v>
      </c>
      <c r="AL108" s="9">
        <f t="shared" si="31"/>
        <v>3</v>
      </c>
      <c r="AM108" s="9">
        <f t="shared" si="31"/>
        <v>3</v>
      </c>
      <c r="AN108" s="9">
        <f t="shared" si="31"/>
        <v>64</v>
      </c>
      <c r="AO108" s="9">
        <f t="shared" si="31"/>
        <v>186</v>
      </c>
      <c r="AP108" s="9">
        <f t="shared" si="31"/>
        <v>69</v>
      </c>
      <c r="AQ108" s="9">
        <f t="shared" ref="AQ108" si="32">AQ119-AQ97-AQ86-AQ75-AQ64-AQ53-AQ42-AQ31-AQ20-AQ9</f>
        <v>152</v>
      </c>
      <c r="AR108" s="9">
        <f t="shared" si="31"/>
        <v>3935</v>
      </c>
      <c r="AS108" s="9">
        <f t="shared" si="31"/>
        <v>12979</v>
      </c>
      <c r="AT108" s="9">
        <f t="shared" si="31"/>
        <v>262</v>
      </c>
      <c r="AU108" s="9">
        <f t="shared" si="31"/>
        <v>909</v>
      </c>
      <c r="AV108" s="9">
        <f t="shared" si="31"/>
        <v>2741</v>
      </c>
      <c r="AW108" s="9">
        <f t="shared" si="31"/>
        <v>8281</v>
      </c>
      <c r="AX108" s="9">
        <f t="shared" si="31"/>
        <v>311</v>
      </c>
      <c r="AY108" s="9">
        <f t="shared" si="31"/>
        <v>898</v>
      </c>
      <c r="AZ108" s="9">
        <f t="shared" si="31"/>
        <v>1</v>
      </c>
      <c r="BA108" s="9">
        <f t="shared" si="31"/>
        <v>32</v>
      </c>
      <c r="BB108" s="9">
        <f t="shared" si="31"/>
        <v>11037</v>
      </c>
      <c r="BC108" s="9">
        <f t="shared" si="31"/>
        <v>35807</v>
      </c>
      <c r="BD108" s="9">
        <f t="shared" si="31"/>
        <v>29272</v>
      </c>
      <c r="BE108" s="9">
        <f t="shared" si="31"/>
        <v>89587</v>
      </c>
      <c r="BF108" s="9">
        <f t="shared" si="31"/>
        <v>13047</v>
      </c>
      <c r="BG108" s="9">
        <f t="shared" si="31"/>
        <v>36806</v>
      </c>
      <c r="BH108" s="9">
        <f t="shared" si="31"/>
        <v>9870</v>
      </c>
      <c r="BI108" s="9">
        <f t="shared" si="31"/>
        <v>29629</v>
      </c>
      <c r="BJ108" s="9">
        <f t="shared" si="31"/>
        <v>688</v>
      </c>
      <c r="BK108" s="9">
        <f t="shared" si="31"/>
        <v>1870</v>
      </c>
      <c r="BL108" s="42">
        <f t="shared" si="21"/>
        <v>174161.80000000008</v>
      </c>
      <c r="BM108" s="42">
        <f t="shared" si="22"/>
        <v>552716.06000000006</v>
      </c>
    </row>
    <row r="109" spans="1:65" x14ac:dyDescent="0.25">
      <c r="A109" s="9" t="s">
        <v>271</v>
      </c>
      <c r="B109" s="9">
        <f t="shared" si="26"/>
        <v>692</v>
      </c>
      <c r="C109" s="9">
        <f t="shared" si="26"/>
        <v>306</v>
      </c>
      <c r="D109" s="9">
        <f t="shared" si="26"/>
        <v>218</v>
      </c>
      <c r="E109" s="9">
        <f t="shared" si="26"/>
        <v>32</v>
      </c>
      <c r="F109" s="9">
        <f t="shared" si="26"/>
        <v>0</v>
      </c>
      <c r="G109" s="9">
        <f t="shared" si="26"/>
        <v>0</v>
      </c>
      <c r="H109" s="9">
        <f t="shared" si="26"/>
        <v>32183</v>
      </c>
      <c r="I109" s="9">
        <f t="shared" si="26"/>
        <v>31717</v>
      </c>
      <c r="J109" s="9">
        <f t="shared" si="26"/>
        <v>2582</v>
      </c>
      <c r="K109" s="9">
        <f t="shared" si="26"/>
        <v>1714</v>
      </c>
      <c r="L109" s="9">
        <f t="shared" si="26"/>
        <v>4807</v>
      </c>
      <c r="M109" s="9">
        <f t="shared" si="26"/>
        <v>4491</v>
      </c>
      <c r="N109" s="9">
        <f t="shared" si="26"/>
        <v>23931</v>
      </c>
      <c r="O109" s="9">
        <f t="shared" si="26"/>
        <v>23531</v>
      </c>
      <c r="P109" s="9">
        <f t="shared" si="26"/>
        <v>11306.76</v>
      </c>
      <c r="Q109" s="9">
        <f t="shared" ref="Q109" si="33">Q120-Q98-Q87-Q76-Q65-Q54-Q43-Q32-Q21-Q10</f>
        <v>29462.95</v>
      </c>
      <c r="R109" s="9">
        <f t="shared" ref="R109:BK109" si="34">R120-R98-R87-R76-R65-R54-R43-R32-R21-R10</f>
        <v>619.95999999999765</v>
      </c>
      <c r="S109" s="9">
        <f t="shared" si="34"/>
        <v>64.550000000000409</v>
      </c>
      <c r="T109" s="9">
        <f t="shared" si="34"/>
        <v>17985.659999999993</v>
      </c>
      <c r="U109" s="9">
        <f t="shared" si="34"/>
        <v>16617.310000000019</v>
      </c>
      <c r="V109" s="9">
        <f t="shared" si="34"/>
        <v>25486</v>
      </c>
      <c r="W109" s="9">
        <f t="shared" si="34"/>
        <v>21898</v>
      </c>
      <c r="X109" s="9">
        <f t="shared" si="34"/>
        <v>67295</v>
      </c>
      <c r="Y109" s="9">
        <f t="shared" si="34"/>
        <v>56299</v>
      </c>
      <c r="Z109" s="9">
        <f t="shared" si="34"/>
        <v>0</v>
      </c>
      <c r="AA109" s="9">
        <f t="shared" si="34"/>
        <v>21193</v>
      </c>
      <c r="AB109" s="9">
        <f t="shared" si="34"/>
        <v>2683</v>
      </c>
      <c r="AC109" s="9">
        <f t="shared" si="34"/>
        <v>2196</v>
      </c>
      <c r="AD109" s="9">
        <f t="shared" si="34"/>
        <v>1695</v>
      </c>
      <c r="AE109" s="9">
        <f t="shared" si="34"/>
        <v>1728</v>
      </c>
      <c r="AF109" s="9">
        <f t="shared" si="34"/>
        <v>166</v>
      </c>
      <c r="AG109" s="9">
        <f t="shared" si="34"/>
        <v>225</v>
      </c>
      <c r="AH109" s="9">
        <f t="shared" si="34"/>
        <v>69.319999999992433</v>
      </c>
      <c r="AI109" s="9">
        <f t="shared" si="34"/>
        <v>92.989999999997963</v>
      </c>
      <c r="AJ109" s="9">
        <f t="shared" si="34"/>
        <v>0</v>
      </c>
      <c r="AK109" s="9">
        <f t="shared" si="34"/>
        <v>12473.71999999995</v>
      </c>
      <c r="AL109" s="9">
        <f t="shared" si="34"/>
        <v>114</v>
      </c>
      <c r="AM109" s="9">
        <f t="shared" si="34"/>
        <v>225</v>
      </c>
      <c r="AN109" s="9">
        <f t="shared" si="34"/>
        <v>66</v>
      </c>
      <c r="AO109" s="9">
        <f t="shared" si="34"/>
        <v>3</v>
      </c>
      <c r="AP109" s="9">
        <f t="shared" si="34"/>
        <v>81</v>
      </c>
      <c r="AQ109" s="9">
        <f t="shared" ref="AQ109" si="35">AQ120-AQ98-AQ87-AQ76-AQ65-AQ54-AQ43-AQ32-AQ21-AQ10</f>
        <v>97</v>
      </c>
      <c r="AR109" s="9">
        <f t="shared" si="34"/>
        <v>4328</v>
      </c>
      <c r="AS109" s="9">
        <f t="shared" si="34"/>
        <v>3679</v>
      </c>
      <c r="AT109" s="9">
        <f t="shared" si="34"/>
        <v>440</v>
      </c>
      <c r="AU109" s="9">
        <f t="shared" si="34"/>
        <v>429</v>
      </c>
      <c r="AV109" s="9">
        <f t="shared" si="34"/>
        <v>6805</v>
      </c>
      <c r="AW109" s="9">
        <f t="shared" si="34"/>
        <v>7348</v>
      </c>
      <c r="AX109" s="9">
        <f t="shared" si="34"/>
        <v>567</v>
      </c>
      <c r="AY109" s="9">
        <f t="shared" si="34"/>
        <v>553</v>
      </c>
      <c r="AZ109" s="9">
        <f t="shared" si="34"/>
        <v>9</v>
      </c>
      <c r="BA109" s="9">
        <f t="shared" si="34"/>
        <v>2</v>
      </c>
      <c r="BB109" s="9">
        <f t="shared" si="34"/>
        <v>14380</v>
      </c>
      <c r="BC109" s="9">
        <f t="shared" si="34"/>
        <v>10784</v>
      </c>
      <c r="BD109" s="9">
        <f t="shared" si="34"/>
        <v>65501</v>
      </c>
      <c r="BE109" s="9">
        <f t="shared" si="34"/>
        <v>58383</v>
      </c>
      <c r="BF109" s="9">
        <f t="shared" si="34"/>
        <v>0</v>
      </c>
      <c r="BG109" s="9">
        <f t="shared" si="34"/>
        <v>0</v>
      </c>
      <c r="BH109" s="9">
        <f t="shared" si="34"/>
        <v>0</v>
      </c>
      <c r="BI109" s="9">
        <f t="shared" si="34"/>
        <v>0</v>
      </c>
      <c r="BJ109" s="9">
        <f t="shared" si="34"/>
        <v>2160</v>
      </c>
      <c r="BK109" s="9">
        <f t="shared" si="34"/>
        <v>2072</v>
      </c>
      <c r="BL109" s="46">
        <f t="shared" si="21"/>
        <v>286170.69999999995</v>
      </c>
      <c r="BM109" s="46">
        <f t="shared" si="22"/>
        <v>307616.51999999996</v>
      </c>
    </row>
    <row r="110" spans="1:65" x14ac:dyDescent="0.25">
      <c r="A110" s="2" t="s">
        <v>272</v>
      </c>
      <c r="B110" s="9">
        <f t="shared" si="26"/>
        <v>926</v>
      </c>
      <c r="C110" s="9">
        <f t="shared" si="26"/>
        <v>926</v>
      </c>
      <c r="D110" s="9">
        <f t="shared" si="26"/>
        <v>219</v>
      </c>
      <c r="E110" s="9">
        <f t="shared" si="26"/>
        <v>219</v>
      </c>
      <c r="F110" s="9">
        <f t="shared" si="26"/>
        <v>0</v>
      </c>
      <c r="G110" s="9">
        <f t="shared" si="26"/>
        <v>0</v>
      </c>
      <c r="H110" s="9">
        <f t="shared" si="26"/>
        <v>33487</v>
      </c>
      <c r="I110" s="9">
        <f t="shared" si="26"/>
        <v>33487</v>
      </c>
      <c r="J110" s="9">
        <f t="shared" si="26"/>
        <v>1582</v>
      </c>
      <c r="K110" s="9">
        <f t="shared" si="26"/>
        <v>1582</v>
      </c>
      <c r="L110" s="9">
        <f t="shared" si="26"/>
        <v>5016</v>
      </c>
      <c r="M110" s="9">
        <f t="shared" si="26"/>
        <v>5016</v>
      </c>
      <c r="N110" s="9">
        <f t="shared" si="26"/>
        <v>14669</v>
      </c>
      <c r="O110" s="9">
        <f t="shared" si="26"/>
        <v>14670</v>
      </c>
      <c r="P110" s="9">
        <f t="shared" si="26"/>
        <v>12216.35</v>
      </c>
      <c r="Q110" s="9">
        <f t="shared" ref="Q110" si="36">Q121-Q99-Q88-Q77-Q66-Q55-Q44-Q33-Q22-Q11</f>
        <v>33860.89</v>
      </c>
      <c r="R110" s="9">
        <f t="shared" ref="R110:BK110" si="37">R121-R99-R88-R77-R66-R55-R44-R33-R22-R11</f>
        <v>966.06000000000074</v>
      </c>
      <c r="S110" s="9">
        <f t="shared" si="37"/>
        <v>966.06000000000074</v>
      </c>
      <c r="T110" s="9">
        <f t="shared" si="37"/>
        <v>17502.089999999997</v>
      </c>
      <c r="U110" s="9">
        <f t="shared" si="37"/>
        <v>17502.089999999997</v>
      </c>
      <c r="V110" s="9">
        <f t="shared" si="37"/>
        <v>-26052</v>
      </c>
      <c r="W110" s="9">
        <f t="shared" si="37"/>
        <v>-26052</v>
      </c>
      <c r="X110" s="9">
        <f t="shared" si="37"/>
        <v>66326</v>
      </c>
      <c r="Y110" s="9">
        <f t="shared" si="37"/>
        <v>66326</v>
      </c>
      <c r="Z110" s="9">
        <f t="shared" si="37"/>
        <v>730</v>
      </c>
      <c r="AA110" s="9">
        <f t="shared" si="37"/>
        <v>22373</v>
      </c>
      <c r="AB110" s="9">
        <f t="shared" si="37"/>
        <v>2921</v>
      </c>
      <c r="AC110" s="9">
        <f t="shared" si="37"/>
        <v>2921</v>
      </c>
      <c r="AD110" s="9">
        <f t="shared" si="37"/>
        <v>1714</v>
      </c>
      <c r="AE110" s="9">
        <f t="shared" si="37"/>
        <v>1714</v>
      </c>
      <c r="AF110" s="9">
        <f t="shared" si="37"/>
        <v>-146</v>
      </c>
      <c r="AG110" s="9">
        <f t="shared" si="37"/>
        <v>-146</v>
      </c>
      <c r="AH110" s="9">
        <f t="shared" si="37"/>
        <v>71.720000000001164</v>
      </c>
      <c r="AI110" s="9">
        <f t="shared" si="37"/>
        <v>71.720000000001164</v>
      </c>
      <c r="AJ110" s="9">
        <f t="shared" si="37"/>
        <v>567.65000000000077</v>
      </c>
      <c r="AK110" s="9">
        <f t="shared" si="37"/>
        <v>14590.409999999974</v>
      </c>
      <c r="AL110" s="9">
        <f t="shared" si="37"/>
        <v>-78</v>
      </c>
      <c r="AM110" s="9">
        <f t="shared" si="37"/>
        <v>-78</v>
      </c>
      <c r="AN110" s="9">
        <f t="shared" si="37"/>
        <v>97</v>
      </c>
      <c r="AO110" s="9">
        <f t="shared" si="37"/>
        <v>97</v>
      </c>
      <c r="AP110" s="9">
        <f t="shared" si="37"/>
        <v>97</v>
      </c>
      <c r="AQ110" s="9">
        <f t="shared" ref="AQ110" si="38">AQ121-AQ99-AQ88-AQ77-AQ66-AQ55-AQ44-AQ33-AQ22-AQ11</f>
        <v>97</v>
      </c>
      <c r="AR110" s="9">
        <f t="shared" si="37"/>
        <v>3980</v>
      </c>
      <c r="AS110" s="9">
        <f t="shared" si="37"/>
        <v>3980</v>
      </c>
      <c r="AT110" s="9">
        <f t="shared" si="37"/>
        <v>398</v>
      </c>
      <c r="AU110" s="9">
        <f t="shared" si="37"/>
        <v>398</v>
      </c>
      <c r="AV110" s="9">
        <f t="shared" si="37"/>
        <v>6720</v>
      </c>
      <c r="AW110" s="9">
        <f t="shared" si="37"/>
        <v>6720</v>
      </c>
      <c r="AX110" s="9">
        <f t="shared" si="37"/>
        <v>578</v>
      </c>
      <c r="AY110" s="9">
        <f t="shared" si="37"/>
        <v>578</v>
      </c>
      <c r="AZ110" s="9">
        <f t="shared" si="37"/>
        <v>9</v>
      </c>
      <c r="BA110" s="9">
        <f t="shared" si="37"/>
        <v>9</v>
      </c>
      <c r="BB110" s="9">
        <f t="shared" si="37"/>
        <v>14630</v>
      </c>
      <c r="BC110" s="9">
        <f t="shared" si="37"/>
        <v>14630</v>
      </c>
      <c r="BD110" s="9">
        <f t="shared" si="37"/>
        <v>62775</v>
      </c>
      <c r="BE110" s="9">
        <f t="shared" si="37"/>
        <v>62775</v>
      </c>
      <c r="BF110" s="9">
        <f t="shared" si="37"/>
        <v>1143</v>
      </c>
      <c r="BG110" s="9">
        <f t="shared" si="37"/>
        <v>2605</v>
      </c>
      <c r="BH110" s="9">
        <f t="shared" si="37"/>
        <v>0</v>
      </c>
      <c r="BI110" s="9">
        <f t="shared" si="37"/>
        <v>0</v>
      </c>
      <c r="BJ110" s="9">
        <f t="shared" si="37"/>
        <v>-2215</v>
      </c>
      <c r="BK110" s="9">
        <f t="shared" si="37"/>
        <v>-2215</v>
      </c>
      <c r="BL110" s="46">
        <f t="shared" si="21"/>
        <v>220849.87</v>
      </c>
      <c r="BM110" s="46">
        <f t="shared" si="22"/>
        <v>279623.16999999993</v>
      </c>
    </row>
    <row r="111" spans="1:65" s="7" customFormat="1" x14ac:dyDescent="0.25">
      <c r="A111" s="10" t="s">
        <v>192</v>
      </c>
      <c r="B111" s="9">
        <f t="shared" si="26"/>
        <v>1126</v>
      </c>
      <c r="C111" s="9">
        <f t="shared" si="26"/>
        <v>2817</v>
      </c>
      <c r="D111" s="9">
        <f t="shared" si="26"/>
        <v>1638</v>
      </c>
      <c r="E111" s="9">
        <f t="shared" si="26"/>
        <v>5015</v>
      </c>
      <c r="F111" s="9">
        <f t="shared" si="26"/>
        <v>0</v>
      </c>
      <c r="G111" s="9">
        <f t="shared" si="26"/>
        <v>0</v>
      </c>
      <c r="H111" s="9">
        <f t="shared" si="26"/>
        <v>11682</v>
      </c>
      <c r="I111" s="9">
        <f t="shared" si="26"/>
        <v>33680</v>
      </c>
      <c r="J111" s="9">
        <f t="shared" si="26"/>
        <v>3272</v>
      </c>
      <c r="K111" s="9">
        <f t="shared" si="26"/>
        <v>9672</v>
      </c>
      <c r="L111" s="9">
        <f t="shared" si="26"/>
        <v>2296</v>
      </c>
      <c r="M111" s="9">
        <f t="shared" si="26"/>
        <v>6129</v>
      </c>
      <c r="N111" s="9">
        <f t="shared" si="26"/>
        <v>16222</v>
      </c>
      <c r="O111" s="9">
        <f t="shared" si="26"/>
        <v>48356</v>
      </c>
      <c r="P111" s="9">
        <f t="shared" si="26"/>
        <v>23523.119999999999</v>
      </c>
      <c r="Q111" s="9">
        <f t="shared" ref="Q111" si="39">Q122-Q100-Q89-Q78-Q67-Q56-Q45-Q34-Q23-Q12</f>
        <v>63323.839999999997</v>
      </c>
      <c r="R111" s="9">
        <f t="shared" ref="R111:BK111" si="40">R122-R100-R89-R78-R67-R56-R45-R34-R23-R12</f>
        <v>616.74000000000024</v>
      </c>
      <c r="S111" s="9">
        <f t="shared" si="40"/>
        <v>1282.1300000000015</v>
      </c>
      <c r="T111" s="9">
        <f t="shared" si="40"/>
        <v>6095.5300000000025</v>
      </c>
      <c r="U111" s="9">
        <f t="shared" si="40"/>
        <v>14852.84999999998</v>
      </c>
      <c r="V111" s="9">
        <f t="shared" si="40"/>
        <v>6759</v>
      </c>
      <c r="W111" s="9">
        <f t="shared" si="40"/>
        <v>19491</v>
      </c>
      <c r="X111" s="9">
        <f t="shared" si="40"/>
        <v>18421</v>
      </c>
      <c r="Y111" s="9">
        <f t="shared" si="40"/>
        <v>52110</v>
      </c>
      <c r="Z111" s="9">
        <f t="shared" si="40"/>
        <v>10128</v>
      </c>
      <c r="AA111" s="9">
        <f t="shared" si="40"/>
        <v>30766</v>
      </c>
      <c r="AB111" s="9">
        <f t="shared" si="40"/>
        <v>189</v>
      </c>
      <c r="AC111" s="9">
        <f t="shared" si="40"/>
        <v>522</v>
      </c>
      <c r="AD111" s="9">
        <f t="shared" si="40"/>
        <v>1290</v>
      </c>
      <c r="AE111" s="9">
        <f t="shared" si="40"/>
        <v>3533</v>
      </c>
      <c r="AF111" s="9">
        <f t="shared" si="40"/>
        <v>86</v>
      </c>
      <c r="AG111" s="9">
        <f t="shared" si="40"/>
        <v>274</v>
      </c>
      <c r="AH111" s="9">
        <f t="shared" si="40"/>
        <v>39.779999999998836</v>
      </c>
      <c r="AI111" s="9">
        <f t="shared" si="40"/>
        <v>130.59999999999127</v>
      </c>
      <c r="AJ111" s="9">
        <f t="shared" si="40"/>
        <v>6080.4800000000523</v>
      </c>
      <c r="AK111" s="9">
        <f t="shared" si="40"/>
        <v>25237.000000000029</v>
      </c>
      <c r="AL111" s="9">
        <f t="shared" si="40"/>
        <v>38</v>
      </c>
      <c r="AM111" s="9">
        <f t="shared" si="40"/>
        <v>148</v>
      </c>
      <c r="AN111" s="9">
        <f t="shared" si="40"/>
        <v>31</v>
      </c>
      <c r="AO111" s="9">
        <f t="shared" si="40"/>
        <v>93</v>
      </c>
      <c r="AP111" s="9">
        <f t="shared" si="40"/>
        <v>51</v>
      </c>
      <c r="AQ111" s="9">
        <f t="shared" ref="AQ111" si="41">AQ122-AQ100-AQ89-AQ78-AQ67-AQ56-AQ45-AQ34-AQ23-AQ12</f>
        <v>152</v>
      </c>
      <c r="AR111" s="9">
        <f t="shared" si="40"/>
        <v>4286</v>
      </c>
      <c r="AS111" s="9">
        <f t="shared" si="40"/>
        <v>12679</v>
      </c>
      <c r="AT111" s="9">
        <f t="shared" si="40"/>
        <v>305</v>
      </c>
      <c r="AU111" s="9">
        <f t="shared" si="40"/>
        <v>940</v>
      </c>
      <c r="AV111" s="9">
        <f t="shared" si="40"/>
        <v>2825</v>
      </c>
      <c r="AW111" s="9">
        <f t="shared" si="40"/>
        <v>8908</v>
      </c>
      <c r="AX111" s="9">
        <f t="shared" si="40"/>
        <v>300</v>
      </c>
      <c r="AY111" s="9">
        <f t="shared" si="40"/>
        <v>874</v>
      </c>
      <c r="AZ111" s="9">
        <f t="shared" si="40"/>
        <v>1</v>
      </c>
      <c r="BA111" s="9">
        <f t="shared" si="40"/>
        <v>25</v>
      </c>
      <c r="BB111" s="9">
        <f t="shared" si="40"/>
        <v>10785</v>
      </c>
      <c r="BC111" s="9">
        <f t="shared" si="40"/>
        <v>31960</v>
      </c>
      <c r="BD111" s="9">
        <f t="shared" si="40"/>
        <v>31997</v>
      </c>
      <c r="BE111" s="9">
        <f t="shared" si="40"/>
        <v>85195</v>
      </c>
      <c r="BF111" s="9">
        <f t="shared" si="40"/>
        <v>11901</v>
      </c>
      <c r="BG111" s="9">
        <f t="shared" si="40"/>
        <v>34199</v>
      </c>
      <c r="BH111" s="9">
        <f t="shared" si="40"/>
        <v>-7135</v>
      </c>
      <c r="BI111" s="9">
        <f t="shared" si="40"/>
        <v>11702</v>
      </c>
      <c r="BJ111" s="9">
        <f t="shared" si="40"/>
        <v>635</v>
      </c>
      <c r="BK111" s="9">
        <f t="shared" si="40"/>
        <v>1729</v>
      </c>
      <c r="BL111" s="42">
        <f t="shared" si="21"/>
        <v>165484.65000000005</v>
      </c>
      <c r="BM111" s="42">
        <f t="shared" si="22"/>
        <v>505795.41999999993</v>
      </c>
    </row>
    <row r="113" spans="1:65" x14ac:dyDescent="0.25">
      <c r="A113" s="17" t="s">
        <v>40</v>
      </c>
    </row>
    <row r="114" spans="1:65" x14ac:dyDescent="0.25">
      <c r="A114" s="1" t="s">
        <v>0</v>
      </c>
      <c r="B114" s="127" t="s">
        <v>1</v>
      </c>
      <c r="C114" s="128"/>
      <c r="D114" s="127" t="s">
        <v>232</v>
      </c>
      <c r="E114" s="128"/>
      <c r="F114" s="127" t="s">
        <v>2</v>
      </c>
      <c r="G114" s="128"/>
      <c r="H114" s="127" t="s">
        <v>3</v>
      </c>
      <c r="I114" s="128"/>
      <c r="J114" s="127" t="s">
        <v>241</v>
      </c>
      <c r="K114" s="128"/>
      <c r="L114" s="127" t="s">
        <v>233</v>
      </c>
      <c r="M114" s="128"/>
      <c r="N114" s="127" t="s">
        <v>244</v>
      </c>
      <c r="O114" s="128"/>
      <c r="P114" s="127" t="s">
        <v>5</v>
      </c>
      <c r="Q114" s="128"/>
      <c r="R114" s="127" t="s">
        <v>4</v>
      </c>
      <c r="S114" s="128"/>
      <c r="T114" s="127" t="s">
        <v>6</v>
      </c>
      <c r="U114" s="128"/>
      <c r="V114" s="127" t="s">
        <v>7</v>
      </c>
      <c r="W114" s="128"/>
      <c r="X114" s="127" t="s">
        <v>8</v>
      </c>
      <c r="Y114" s="128"/>
      <c r="Z114" s="127" t="s">
        <v>9</v>
      </c>
      <c r="AA114" s="128"/>
      <c r="AB114" s="127" t="s">
        <v>240</v>
      </c>
      <c r="AC114" s="128"/>
      <c r="AD114" s="127" t="s">
        <v>10</v>
      </c>
      <c r="AE114" s="128"/>
      <c r="AF114" s="127" t="s">
        <v>11</v>
      </c>
      <c r="AG114" s="128"/>
      <c r="AH114" s="127" t="s">
        <v>234</v>
      </c>
      <c r="AI114" s="128"/>
      <c r="AJ114" s="127" t="s">
        <v>12</v>
      </c>
      <c r="AK114" s="128"/>
      <c r="AL114" s="127" t="s">
        <v>235</v>
      </c>
      <c r="AM114" s="128"/>
      <c r="AN114" s="127" t="s">
        <v>293</v>
      </c>
      <c r="AO114" s="128"/>
      <c r="AP114" s="127" t="s">
        <v>236</v>
      </c>
      <c r="AQ114" s="128"/>
      <c r="AR114" s="127" t="s">
        <v>239</v>
      </c>
      <c r="AS114" s="128"/>
      <c r="AT114" s="127" t="s">
        <v>13</v>
      </c>
      <c r="AU114" s="128"/>
      <c r="AV114" s="127" t="s">
        <v>14</v>
      </c>
      <c r="AW114" s="128"/>
      <c r="AX114" s="127" t="s">
        <v>15</v>
      </c>
      <c r="AY114" s="128"/>
      <c r="AZ114" s="127" t="s">
        <v>16</v>
      </c>
      <c r="BA114" s="128"/>
      <c r="BB114" s="127" t="s">
        <v>17</v>
      </c>
      <c r="BC114" s="128"/>
      <c r="BD114" s="127" t="s">
        <v>237</v>
      </c>
      <c r="BE114" s="128"/>
      <c r="BF114" s="127" t="s">
        <v>238</v>
      </c>
      <c r="BG114" s="128"/>
      <c r="BH114" s="127" t="s">
        <v>18</v>
      </c>
      <c r="BI114" s="128"/>
      <c r="BJ114" s="127" t="s">
        <v>19</v>
      </c>
      <c r="BK114" s="128"/>
      <c r="BL114" s="129" t="s">
        <v>20</v>
      </c>
      <c r="BM114" s="130"/>
    </row>
    <row r="115" spans="1:65" ht="30" x14ac:dyDescent="0.25">
      <c r="A115" s="1"/>
      <c r="B115" s="32" t="s">
        <v>299</v>
      </c>
      <c r="C115" s="33" t="s">
        <v>298</v>
      </c>
      <c r="D115" s="32" t="s">
        <v>299</v>
      </c>
      <c r="E115" s="33" t="s">
        <v>298</v>
      </c>
      <c r="F115" s="32" t="s">
        <v>299</v>
      </c>
      <c r="G115" s="33" t="s">
        <v>298</v>
      </c>
      <c r="H115" s="32" t="s">
        <v>299</v>
      </c>
      <c r="I115" s="33" t="s">
        <v>298</v>
      </c>
      <c r="J115" s="32" t="s">
        <v>299</v>
      </c>
      <c r="K115" s="33" t="s">
        <v>298</v>
      </c>
      <c r="L115" s="32" t="s">
        <v>299</v>
      </c>
      <c r="M115" s="33" t="s">
        <v>298</v>
      </c>
      <c r="N115" s="32" t="s">
        <v>299</v>
      </c>
      <c r="O115" s="33" t="s">
        <v>298</v>
      </c>
      <c r="P115" s="32" t="s">
        <v>299</v>
      </c>
      <c r="Q115" s="33" t="s">
        <v>298</v>
      </c>
      <c r="R115" s="32" t="s">
        <v>299</v>
      </c>
      <c r="S115" s="33" t="s">
        <v>298</v>
      </c>
      <c r="T115" s="32" t="s">
        <v>299</v>
      </c>
      <c r="U115" s="33" t="s">
        <v>298</v>
      </c>
      <c r="V115" s="32" t="s">
        <v>299</v>
      </c>
      <c r="W115" s="33" t="s">
        <v>298</v>
      </c>
      <c r="X115" s="32" t="s">
        <v>299</v>
      </c>
      <c r="Y115" s="33" t="s">
        <v>298</v>
      </c>
      <c r="Z115" s="32" t="s">
        <v>299</v>
      </c>
      <c r="AA115" s="33" t="s">
        <v>298</v>
      </c>
      <c r="AB115" s="32" t="s">
        <v>299</v>
      </c>
      <c r="AC115" s="33" t="s">
        <v>298</v>
      </c>
      <c r="AD115" s="32" t="s">
        <v>299</v>
      </c>
      <c r="AE115" s="33" t="s">
        <v>298</v>
      </c>
      <c r="AF115" s="32" t="s">
        <v>299</v>
      </c>
      <c r="AG115" s="33" t="s">
        <v>298</v>
      </c>
      <c r="AH115" s="32" t="s">
        <v>299</v>
      </c>
      <c r="AI115" s="33" t="s">
        <v>298</v>
      </c>
      <c r="AJ115" s="32" t="s">
        <v>299</v>
      </c>
      <c r="AK115" s="33" t="s">
        <v>298</v>
      </c>
      <c r="AL115" s="32" t="s">
        <v>299</v>
      </c>
      <c r="AM115" s="33" t="s">
        <v>298</v>
      </c>
      <c r="AN115" s="32" t="s">
        <v>299</v>
      </c>
      <c r="AO115" s="33" t="s">
        <v>298</v>
      </c>
      <c r="AP115" s="32" t="s">
        <v>299</v>
      </c>
      <c r="AQ115" s="33" t="s">
        <v>298</v>
      </c>
      <c r="AR115" s="32" t="s">
        <v>299</v>
      </c>
      <c r="AS115" s="33" t="s">
        <v>298</v>
      </c>
      <c r="AT115" s="32" t="s">
        <v>299</v>
      </c>
      <c r="AU115" s="33" t="s">
        <v>298</v>
      </c>
      <c r="AV115" s="32" t="s">
        <v>299</v>
      </c>
      <c r="AW115" s="33" t="s">
        <v>298</v>
      </c>
      <c r="AX115" s="32" t="s">
        <v>299</v>
      </c>
      <c r="AY115" s="33" t="s">
        <v>298</v>
      </c>
      <c r="AZ115" s="32" t="s">
        <v>299</v>
      </c>
      <c r="BA115" s="33" t="s">
        <v>298</v>
      </c>
      <c r="BB115" s="32" t="s">
        <v>299</v>
      </c>
      <c r="BC115" s="33" t="s">
        <v>298</v>
      </c>
      <c r="BD115" s="32" t="s">
        <v>299</v>
      </c>
      <c r="BE115" s="33" t="s">
        <v>298</v>
      </c>
      <c r="BF115" s="32" t="s">
        <v>299</v>
      </c>
      <c r="BG115" s="33" t="s">
        <v>298</v>
      </c>
      <c r="BH115" s="32" t="s">
        <v>299</v>
      </c>
      <c r="BI115" s="33" t="s">
        <v>298</v>
      </c>
      <c r="BJ115" s="32" t="s">
        <v>299</v>
      </c>
      <c r="BK115" s="33" t="s">
        <v>298</v>
      </c>
      <c r="BL115" s="32" t="s">
        <v>299</v>
      </c>
      <c r="BM115" s="33" t="s">
        <v>298</v>
      </c>
    </row>
    <row r="116" spans="1:65" x14ac:dyDescent="0.25">
      <c r="A116" s="9" t="s">
        <v>267</v>
      </c>
      <c r="B116" s="9">
        <v>37673</v>
      </c>
      <c r="C116" s="9">
        <v>108282</v>
      </c>
      <c r="D116" s="9">
        <v>58783</v>
      </c>
      <c r="E116" s="9">
        <v>185844</v>
      </c>
      <c r="F116" s="9">
        <v>219659</v>
      </c>
      <c r="G116" s="9">
        <v>1110152</v>
      </c>
      <c r="H116" s="9">
        <v>377737</v>
      </c>
      <c r="I116" s="9">
        <v>1160860</v>
      </c>
      <c r="J116" s="9">
        <v>125077</v>
      </c>
      <c r="K116" s="9">
        <v>364606</v>
      </c>
      <c r="L116" s="9">
        <v>162481</v>
      </c>
      <c r="M116" s="9">
        <v>438889</v>
      </c>
      <c r="N116" s="9">
        <v>156840</v>
      </c>
      <c r="O116" s="9">
        <v>453451</v>
      </c>
      <c r="P116" s="9">
        <v>29965.73</v>
      </c>
      <c r="Q116" s="9">
        <v>83252.320000000007</v>
      </c>
      <c r="R116" s="9">
        <v>14382.11</v>
      </c>
      <c r="S116" s="9">
        <v>41287.39</v>
      </c>
      <c r="T116" s="9">
        <v>119648.43</v>
      </c>
      <c r="U116" s="9">
        <v>311743.31</v>
      </c>
      <c r="V116" s="9">
        <v>393098</v>
      </c>
      <c r="W116" s="9">
        <v>1193303</v>
      </c>
      <c r="X116" s="9">
        <v>549302</v>
      </c>
      <c r="Y116" s="9">
        <v>1604812</v>
      </c>
      <c r="Z116" s="9">
        <v>256879</v>
      </c>
      <c r="AA116" s="9">
        <v>711650</v>
      </c>
      <c r="AB116" s="9">
        <v>28602</v>
      </c>
      <c r="AC116" s="9">
        <v>78603</v>
      </c>
      <c r="AD116" s="9">
        <v>52401</v>
      </c>
      <c r="AE116" s="9">
        <v>143278</v>
      </c>
      <c r="AF116" s="9">
        <v>69396</v>
      </c>
      <c r="AG116" s="9">
        <v>182602</v>
      </c>
      <c r="AH116" s="9">
        <v>34357.040000000001</v>
      </c>
      <c r="AI116" s="9">
        <v>93871.02</v>
      </c>
      <c r="AJ116" s="9">
        <v>366205.62</v>
      </c>
      <c r="AK116" s="9">
        <v>1159306.8999999999</v>
      </c>
      <c r="AL116" s="9">
        <v>1830</v>
      </c>
      <c r="AM116" s="9">
        <v>5560</v>
      </c>
      <c r="AN116" s="9">
        <v>99296</v>
      </c>
      <c r="AO116" s="9">
        <v>273871</v>
      </c>
      <c r="AP116" s="9">
        <v>8968</v>
      </c>
      <c r="AQ116" s="9">
        <v>33749</v>
      </c>
      <c r="AR116" s="9">
        <v>243841</v>
      </c>
      <c r="AS116" s="9">
        <v>809697</v>
      </c>
      <c r="AT116" s="9">
        <v>90821</v>
      </c>
      <c r="AU116" s="9">
        <v>245861</v>
      </c>
      <c r="AV116" s="9">
        <v>191232</v>
      </c>
      <c r="AW116" s="9">
        <v>689943</v>
      </c>
      <c r="AX116" s="9">
        <v>60275</v>
      </c>
      <c r="AY116" s="9">
        <v>159408</v>
      </c>
      <c r="AZ116" s="9">
        <v>309668</v>
      </c>
      <c r="BA116" s="9">
        <v>875324</v>
      </c>
      <c r="BB116" s="9">
        <v>339719</v>
      </c>
      <c r="BC116" s="9">
        <v>935021</v>
      </c>
      <c r="BD116" s="9">
        <v>890727</v>
      </c>
      <c r="BE116" s="9">
        <v>2747984</v>
      </c>
      <c r="BF116" s="9">
        <v>357230</v>
      </c>
      <c r="BG116" s="9">
        <v>1176620</v>
      </c>
      <c r="BH116" s="9">
        <v>395528</v>
      </c>
      <c r="BI116" s="9">
        <v>1274269</v>
      </c>
      <c r="BJ116" s="9">
        <v>105726</v>
      </c>
      <c r="BK116" s="9">
        <v>313812</v>
      </c>
      <c r="BL116" s="46">
        <f t="shared" ref="BL116:BL122" si="42">SUM(B116+D116+F116+H116+J116+L116+N116+P116+R116+T116+V116+X116+Z116+AB116+AD116+AF116+AH116+AJ116+AL116+AN116+AP116+AR116+AT116+AV116+AX116+AZ116+BB116+BD116+BF116+BH116+BJ116)</f>
        <v>6147347.9299999997</v>
      </c>
      <c r="BM116" s="46">
        <f t="shared" ref="BM116:BM122" si="43">SUM(C116+E116+G116+I116+K116+M116+O116+Q116+S116+U116+W116+Y116+AA116+AC116+AE116+AG116+AI116+AK116+AM116+AO116+AQ116+AS116+AU116+AW116+AY116+BA116+BC116+BE116+BG116+BI116+BK116)</f>
        <v>18966911.939999998</v>
      </c>
    </row>
    <row r="117" spans="1:65" x14ac:dyDescent="0.25">
      <c r="A117" s="9" t="s">
        <v>268</v>
      </c>
      <c r="B117" s="9"/>
      <c r="C117" s="9"/>
      <c r="D117" s="9"/>
      <c r="E117" s="9"/>
      <c r="F117" s="9">
        <v>10</v>
      </c>
      <c r="G117" s="9">
        <v>55</v>
      </c>
      <c r="H117" s="9">
        <v>4337</v>
      </c>
      <c r="I117" s="9">
        <v>11256</v>
      </c>
      <c r="J117" s="9">
        <v>1719</v>
      </c>
      <c r="K117" s="9">
        <v>7825</v>
      </c>
      <c r="L117" s="9">
        <v>1216</v>
      </c>
      <c r="M117" s="9">
        <v>3531</v>
      </c>
      <c r="N117" s="9">
        <v>27218</v>
      </c>
      <c r="O117" s="9">
        <v>75389</v>
      </c>
      <c r="P117" s="9"/>
      <c r="Q117" s="9"/>
      <c r="R117" s="9">
        <v>554.61</v>
      </c>
      <c r="S117" s="9">
        <v>1566.91</v>
      </c>
      <c r="T117" s="9">
        <v>1276.29</v>
      </c>
      <c r="U117" s="9">
        <v>7406.89</v>
      </c>
      <c r="V117" s="9">
        <v>4532</v>
      </c>
      <c r="W117" s="9">
        <v>19002</v>
      </c>
      <c r="X117" s="9">
        <v>10669</v>
      </c>
      <c r="Y117" s="9">
        <v>38398</v>
      </c>
      <c r="Z117" s="9">
        <v>6051</v>
      </c>
      <c r="AA117" s="9">
        <v>17334</v>
      </c>
      <c r="AB117" s="9">
        <v>233</v>
      </c>
      <c r="AC117" s="9">
        <v>1118</v>
      </c>
      <c r="AD117" s="9">
        <v>615</v>
      </c>
      <c r="AE117" s="9">
        <v>1872</v>
      </c>
      <c r="AF117" s="9">
        <v>1080</v>
      </c>
      <c r="AG117" s="9">
        <v>4869</v>
      </c>
      <c r="AH117" s="9"/>
      <c r="AI117" s="9"/>
      <c r="AJ117" s="9">
        <v>9937</v>
      </c>
      <c r="AK117" s="9">
        <v>29809.759999999998</v>
      </c>
      <c r="AL117" s="9">
        <v>44</v>
      </c>
      <c r="AM117" s="9">
        <v>139</v>
      </c>
      <c r="AN117" s="9"/>
      <c r="AO117" s="9"/>
      <c r="AP117" s="9">
        <v>469</v>
      </c>
      <c r="AQ117" s="9">
        <v>1159</v>
      </c>
      <c r="AR117" s="9">
        <v>3113</v>
      </c>
      <c r="AS117" s="9">
        <v>11101</v>
      </c>
      <c r="AT117" s="9">
        <v>2533</v>
      </c>
      <c r="AU117" s="9">
        <v>12041</v>
      </c>
      <c r="AV117" s="9">
        <v>725</v>
      </c>
      <c r="AW117" s="9">
        <v>4363</v>
      </c>
      <c r="AX117" s="9">
        <v>555</v>
      </c>
      <c r="AY117" s="9">
        <v>1031</v>
      </c>
      <c r="AZ117" s="9"/>
      <c r="BA117" s="9"/>
      <c r="BB117" s="9">
        <v>5232</v>
      </c>
      <c r="BC117" s="9">
        <v>19812</v>
      </c>
      <c r="BD117" s="9">
        <v>33525</v>
      </c>
      <c r="BE117" s="9">
        <v>96023</v>
      </c>
      <c r="BF117" s="9">
        <v>8219</v>
      </c>
      <c r="BG117" s="9">
        <v>41149</v>
      </c>
      <c r="BH117" s="9">
        <v>12103</v>
      </c>
      <c r="BI117" s="9">
        <v>17285</v>
      </c>
      <c r="BJ117" s="9">
        <v>408</v>
      </c>
      <c r="BK117" s="9">
        <v>5991</v>
      </c>
      <c r="BL117" s="46">
        <f t="shared" si="42"/>
        <v>136373.9</v>
      </c>
      <c r="BM117" s="46">
        <f t="shared" si="43"/>
        <v>429526.56</v>
      </c>
    </row>
    <row r="118" spans="1:65" x14ac:dyDescent="0.25">
      <c r="A118" s="9" t="s">
        <v>269</v>
      </c>
      <c r="B118" s="9">
        <v>11512</v>
      </c>
      <c r="C118" s="9">
        <v>28482</v>
      </c>
      <c r="D118" s="9">
        <v>10174</v>
      </c>
      <c r="E118" s="9">
        <v>32180</v>
      </c>
      <c r="F118" s="9">
        <v>114678</v>
      </c>
      <c r="G118" s="9">
        <v>597214</v>
      </c>
      <c r="H118" s="9">
        <v>-161551</v>
      </c>
      <c r="I118" s="9">
        <v>-557886</v>
      </c>
      <c r="J118" s="9">
        <v>15017</v>
      </c>
      <c r="K118" s="9">
        <v>46703</v>
      </c>
      <c r="L118" s="9">
        <v>37760</v>
      </c>
      <c r="M118" s="9">
        <v>113561</v>
      </c>
      <c r="N118" s="9">
        <v>26832</v>
      </c>
      <c r="O118" s="9">
        <v>110441</v>
      </c>
      <c r="P118" s="9">
        <v>5533.02</v>
      </c>
      <c r="Q118" s="9">
        <v>15530.54</v>
      </c>
      <c r="R118" s="9">
        <v>4510.95</v>
      </c>
      <c r="S118" s="9">
        <v>13938.26</v>
      </c>
      <c r="T118" s="9">
        <v>57120.53</v>
      </c>
      <c r="U118" s="9">
        <v>128907.43</v>
      </c>
      <c r="V118" s="9">
        <v>-181838</v>
      </c>
      <c r="W118" s="9">
        <v>-578967</v>
      </c>
      <c r="X118" s="9">
        <v>143671</v>
      </c>
      <c r="Y118" s="9">
        <v>493981</v>
      </c>
      <c r="Z118" s="9">
        <v>80430</v>
      </c>
      <c r="AA118" s="9">
        <v>221780</v>
      </c>
      <c r="AB118" s="9">
        <v>8848</v>
      </c>
      <c r="AC118" s="9">
        <v>23090</v>
      </c>
      <c r="AD118" s="9">
        <v>4011</v>
      </c>
      <c r="AE118" s="9">
        <v>18093</v>
      </c>
      <c r="AF118" s="9">
        <v>-13714</v>
      </c>
      <c r="AG118" s="9">
        <v>-43708</v>
      </c>
      <c r="AH118" s="9">
        <v>1617.16</v>
      </c>
      <c r="AI118" s="9">
        <v>4148.6499999999996</v>
      </c>
      <c r="AJ118" s="9">
        <v>77734.539999999994</v>
      </c>
      <c r="AK118" s="9">
        <v>238769.37</v>
      </c>
      <c r="AL118" s="9">
        <v>-792</v>
      </c>
      <c r="AM118" s="9">
        <v>-1978</v>
      </c>
      <c r="AN118" s="9">
        <v>21422</v>
      </c>
      <c r="AO118" s="9">
        <v>61013</v>
      </c>
      <c r="AP118" s="9">
        <v>1661</v>
      </c>
      <c r="AQ118" s="9">
        <v>5867</v>
      </c>
      <c r="AR118" s="9">
        <v>88311</v>
      </c>
      <c r="AS118" s="9">
        <v>346239</v>
      </c>
      <c r="AT118" s="9">
        <v>18565</v>
      </c>
      <c r="AU118" s="9">
        <v>62817</v>
      </c>
      <c r="AV118" s="9">
        <v>74714</v>
      </c>
      <c r="AW118" s="9">
        <v>317063</v>
      </c>
      <c r="AX118" s="9">
        <v>5358</v>
      </c>
      <c r="AY118" s="9">
        <v>13600</v>
      </c>
      <c r="AZ118" s="9">
        <v>15327</v>
      </c>
      <c r="BA118" s="9">
        <v>42681</v>
      </c>
      <c r="BB118" s="9">
        <v>139935</v>
      </c>
      <c r="BC118" s="9">
        <v>347743</v>
      </c>
      <c r="BD118" s="9">
        <v>182034</v>
      </c>
      <c r="BE118" s="9">
        <v>588151</v>
      </c>
      <c r="BF118" s="9">
        <v>52082</v>
      </c>
      <c r="BG118" s="9">
        <v>173273</v>
      </c>
      <c r="BH118" s="9">
        <v>47204</v>
      </c>
      <c r="BI118" s="9">
        <v>187450</v>
      </c>
      <c r="BJ118" s="9">
        <v>64667</v>
      </c>
      <c r="BK118" s="9">
        <v>143042</v>
      </c>
      <c r="BL118" s="46">
        <f t="shared" si="42"/>
        <v>952834.2</v>
      </c>
      <c r="BM118" s="46">
        <f t="shared" si="43"/>
        <v>3193219.25</v>
      </c>
    </row>
    <row r="119" spans="1:65" s="7" customFormat="1" x14ac:dyDescent="0.25">
      <c r="A119" s="10" t="s">
        <v>270</v>
      </c>
      <c r="B119" s="10">
        <v>26161</v>
      </c>
      <c r="C119" s="10">
        <v>79800</v>
      </c>
      <c r="D119" s="10">
        <v>48609</v>
      </c>
      <c r="E119" s="10">
        <v>153664</v>
      </c>
      <c r="F119" s="10">
        <v>104991</v>
      </c>
      <c r="G119" s="10">
        <v>512993</v>
      </c>
      <c r="H119" s="10">
        <v>220522</v>
      </c>
      <c r="I119" s="10">
        <v>614230</v>
      </c>
      <c r="J119" s="10">
        <v>111779</v>
      </c>
      <c r="K119" s="10">
        <v>325728</v>
      </c>
      <c r="L119" s="10">
        <v>125936</v>
      </c>
      <c r="M119" s="10">
        <v>328859</v>
      </c>
      <c r="N119" s="10">
        <v>157226</v>
      </c>
      <c r="O119" s="10">
        <v>418399</v>
      </c>
      <c r="P119" s="10">
        <v>24432.71</v>
      </c>
      <c r="Q119" s="10">
        <v>67721.78</v>
      </c>
      <c r="R119" s="10">
        <v>10425.77</v>
      </c>
      <c r="S119" s="10">
        <v>28916.04</v>
      </c>
      <c r="T119" s="10">
        <v>63804.2</v>
      </c>
      <c r="U119" s="10">
        <v>190242.76</v>
      </c>
      <c r="V119" s="10">
        <v>215792</v>
      </c>
      <c r="W119" s="10">
        <v>633339</v>
      </c>
      <c r="X119" s="10">
        <v>416300</v>
      </c>
      <c r="Y119" s="10">
        <v>1149229</v>
      </c>
      <c r="Z119" s="10">
        <v>182500</v>
      </c>
      <c r="AA119" s="10">
        <v>507204</v>
      </c>
      <c r="AB119" s="10">
        <v>19987</v>
      </c>
      <c r="AC119" s="10">
        <v>56632</v>
      </c>
      <c r="AD119" s="10">
        <v>49005</v>
      </c>
      <c r="AE119" s="10">
        <v>127058</v>
      </c>
      <c r="AF119" s="10">
        <v>56763</v>
      </c>
      <c r="AG119" s="10">
        <v>143763</v>
      </c>
      <c r="AH119" s="10">
        <v>32739.89</v>
      </c>
      <c r="AI119" s="10">
        <v>89722.37</v>
      </c>
      <c r="AJ119" s="10">
        <v>298408.09000000003</v>
      </c>
      <c r="AK119" s="10">
        <v>950347.28</v>
      </c>
      <c r="AL119" s="10">
        <v>1082</v>
      </c>
      <c r="AM119" s="10">
        <v>3721</v>
      </c>
      <c r="AN119" s="10">
        <v>77874</v>
      </c>
      <c r="AO119" s="10">
        <v>212858</v>
      </c>
      <c r="AP119" s="10">
        <v>7775</v>
      </c>
      <c r="AQ119" s="10">
        <v>29040</v>
      </c>
      <c r="AR119" s="10">
        <v>158643</v>
      </c>
      <c r="AS119" s="10">
        <v>474558</v>
      </c>
      <c r="AT119" s="10">
        <v>74789</v>
      </c>
      <c r="AU119" s="10">
        <v>195086</v>
      </c>
      <c r="AV119" s="10">
        <v>117243</v>
      </c>
      <c r="AW119" s="10">
        <v>377243</v>
      </c>
      <c r="AX119" s="10">
        <v>55472</v>
      </c>
      <c r="AY119" s="10">
        <v>146839</v>
      </c>
      <c r="AZ119" s="10">
        <v>294341</v>
      </c>
      <c r="BA119" s="10">
        <v>832643</v>
      </c>
      <c r="BB119" s="10">
        <v>205016</v>
      </c>
      <c r="BC119" s="10">
        <v>607090</v>
      </c>
      <c r="BD119" s="10">
        <v>742218</v>
      </c>
      <c r="BE119" s="10">
        <v>2255856</v>
      </c>
      <c r="BF119" s="10">
        <v>313366</v>
      </c>
      <c r="BG119" s="10">
        <v>1044496</v>
      </c>
      <c r="BH119" s="10">
        <v>360427</v>
      </c>
      <c r="BI119" s="10">
        <v>1104103</v>
      </c>
      <c r="BJ119" s="10">
        <v>41467</v>
      </c>
      <c r="BK119" s="10">
        <v>176761</v>
      </c>
      <c r="BL119" s="42">
        <f t="shared" si="42"/>
        <v>4615094.66</v>
      </c>
      <c r="BM119" s="42">
        <f t="shared" si="43"/>
        <v>13838142.23</v>
      </c>
    </row>
    <row r="120" spans="1:65" x14ac:dyDescent="0.25">
      <c r="A120" s="9" t="s">
        <v>271</v>
      </c>
      <c r="B120" s="9">
        <v>43626</v>
      </c>
      <c r="C120" s="9">
        <v>26352</v>
      </c>
      <c r="D120" s="9">
        <v>86642</v>
      </c>
      <c r="E120" s="9">
        <v>65537</v>
      </c>
      <c r="F120" s="9">
        <v>59459</v>
      </c>
      <c r="G120" s="9">
        <v>65517</v>
      </c>
      <c r="H120" s="9">
        <v>414405</v>
      </c>
      <c r="I120" s="9">
        <v>414944</v>
      </c>
      <c r="J120" s="9">
        <v>189551</v>
      </c>
      <c r="K120" s="9">
        <v>151685</v>
      </c>
      <c r="L120" s="9">
        <v>262420</v>
      </c>
      <c r="M120" s="9">
        <v>249632</v>
      </c>
      <c r="N120" s="9">
        <v>251244</v>
      </c>
      <c r="O120" s="9">
        <v>230715</v>
      </c>
      <c r="P120" s="9">
        <v>11306.76</v>
      </c>
      <c r="Q120" s="9">
        <v>29462.95</v>
      </c>
      <c r="R120" s="9">
        <v>16552.349999999999</v>
      </c>
      <c r="S120" s="9">
        <v>12236.36</v>
      </c>
      <c r="T120" s="9">
        <v>140837.96</v>
      </c>
      <c r="U120" s="9">
        <v>143114.20000000001</v>
      </c>
      <c r="V120" s="9">
        <v>493271</v>
      </c>
      <c r="W120" s="9">
        <v>455360</v>
      </c>
      <c r="X120" s="9">
        <v>802749</v>
      </c>
      <c r="Y120" s="9">
        <v>800297</v>
      </c>
      <c r="Z120" s="9"/>
      <c r="AA120" s="9">
        <v>286916</v>
      </c>
      <c r="AB120" s="9">
        <v>48630</v>
      </c>
      <c r="AC120" s="9">
        <v>43725</v>
      </c>
      <c r="AD120" s="9">
        <v>82218</v>
      </c>
      <c r="AE120" s="9">
        <v>75568</v>
      </c>
      <c r="AF120" s="9">
        <v>88356</v>
      </c>
      <c r="AG120" s="9">
        <v>67345</v>
      </c>
      <c r="AH120" s="9">
        <v>54323.02</v>
      </c>
      <c r="AI120" s="9">
        <v>46775.85</v>
      </c>
      <c r="AJ120" s="9"/>
      <c r="AK120" s="9">
        <v>578921.94999999995</v>
      </c>
      <c r="AL120" s="9">
        <v>17606</v>
      </c>
      <c r="AM120" s="9">
        <v>20403</v>
      </c>
      <c r="AN120" s="9">
        <v>127568</v>
      </c>
      <c r="AO120" s="9">
        <v>108127</v>
      </c>
      <c r="AP120" s="9">
        <v>22057</v>
      </c>
      <c r="AQ120" s="9">
        <v>18122</v>
      </c>
      <c r="AR120" s="9">
        <v>250033</v>
      </c>
      <c r="AS120" s="9">
        <v>226604</v>
      </c>
      <c r="AT120" s="9">
        <v>130675</v>
      </c>
      <c r="AU120" s="9">
        <v>125926</v>
      </c>
      <c r="AV120" s="9">
        <v>340720</v>
      </c>
      <c r="AW120" s="9">
        <v>301094</v>
      </c>
      <c r="AX120" s="9">
        <v>100562</v>
      </c>
      <c r="AY120" s="9">
        <v>93050</v>
      </c>
      <c r="AZ120" s="9">
        <v>607404</v>
      </c>
      <c r="BA120" s="9">
        <v>617286</v>
      </c>
      <c r="BB120" s="9">
        <v>440701</v>
      </c>
      <c r="BC120" s="9">
        <v>445986</v>
      </c>
      <c r="BD120" s="9">
        <v>1397012</v>
      </c>
      <c r="BE120" s="9">
        <v>1332382</v>
      </c>
      <c r="BF120" s="9">
        <v>0</v>
      </c>
      <c r="BG120" s="9">
        <v>0</v>
      </c>
      <c r="BH120" s="9"/>
      <c r="BI120" s="9"/>
      <c r="BJ120" s="9">
        <v>128448</v>
      </c>
      <c r="BK120" s="9">
        <v>90172</v>
      </c>
      <c r="BL120" s="46">
        <f t="shared" si="42"/>
        <v>6608377.0899999999</v>
      </c>
      <c r="BM120" s="46">
        <f t="shared" si="43"/>
        <v>7123256.3099999996</v>
      </c>
    </row>
    <row r="121" spans="1:65" x14ac:dyDescent="0.25">
      <c r="A121" s="2" t="s">
        <v>272</v>
      </c>
      <c r="B121" s="9">
        <v>47556</v>
      </c>
      <c r="C121" s="9">
        <v>47556</v>
      </c>
      <c r="D121" s="9">
        <v>94248</v>
      </c>
      <c r="E121" s="9">
        <v>94248</v>
      </c>
      <c r="F121" s="9">
        <v>42773</v>
      </c>
      <c r="G121" s="9">
        <v>42773</v>
      </c>
      <c r="H121" s="9">
        <v>426289</v>
      </c>
      <c r="I121" s="9">
        <v>426289</v>
      </c>
      <c r="J121" s="9">
        <v>204369</v>
      </c>
      <c r="K121" s="9">
        <v>204369</v>
      </c>
      <c r="L121" s="9">
        <v>284805</v>
      </c>
      <c r="M121" s="9">
        <v>284806</v>
      </c>
      <c r="N121" s="9">
        <v>272381</v>
      </c>
      <c r="O121" s="9">
        <v>272382</v>
      </c>
      <c r="P121" s="9">
        <v>12216.35</v>
      </c>
      <c r="Q121" s="9">
        <v>33860.89</v>
      </c>
      <c r="R121" s="9">
        <v>19002.189999999999</v>
      </c>
      <c r="S121" s="9">
        <v>19002.189999999999</v>
      </c>
      <c r="T121" s="9">
        <v>129668.99</v>
      </c>
      <c r="U121" s="9">
        <v>129668.99</v>
      </c>
      <c r="V121" s="9">
        <v>-498316</v>
      </c>
      <c r="W121" s="9">
        <v>-498316</v>
      </c>
      <c r="X121" s="9">
        <v>839843</v>
      </c>
      <c r="Y121" s="9">
        <v>839843</v>
      </c>
      <c r="Z121" s="9">
        <v>19600</v>
      </c>
      <c r="AA121" s="9">
        <v>328369</v>
      </c>
      <c r="AB121" s="9">
        <v>50638</v>
      </c>
      <c r="AC121" s="9">
        <v>50638</v>
      </c>
      <c r="AD121" s="9">
        <v>90740</v>
      </c>
      <c r="AE121" s="9">
        <v>90740</v>
      </c>
      <c r="AF121" s="9">
        <v>-103411</v>
      </c>
      <c r="AG121" s="9">
        <v>-103411</v>
      </c>
      <c r="AH121" s="9">
        <v>58917.54</v>
      </c>
      <c r="AI121" s="9">
        <v>58917.54</v>
      </c>
      <c r="AJ121" s="9">
        <v>1420.15</v>
      </c>
      <c r="AK121" s="9">
        <v>584636.06999999995</v>
      </c>
      <c r="AL121" s="9">
        <v>-16265</v>
      </c>
      <c r="AM121" s="9">
        <v>-16265</v>
      </c>
      <c r="AN121" s="9">
        <v>140618</v>
      </c>
      <c r="AO121" s="9">
        <v>140618</v>
      </c>
      <c r="AP121" s="9">
        <v>20062</v>
      </c>
      <c r="AQ121" s="9">
        <v>20062</v>
      </c>
      <c r="AR121" s="9">
        <v>248782</v>
      </c>
      <c r="AS121" s="9">
        <v>248782</v>
      </c>
      <c r="AT121" s="9">
        <v>142517</v>
      </c>
      <c r="AU121" s="9">
        <v>142517</v>
      </c>
      <c r="AV121" s="9">
        <v>331549</v>
      </c>
      <c r="AW121" s="9">
        <v>331549</v>
      </c>
      <c r="AX121" s="9">
        <v>109708</v>
      </c>
      <c r="AY121" s="9">
        <v>109708</v>
      </c>
      <c r="AZ121" s="9">
        <v>615021</v>
      </c>
      <c r="BA121" s="9">
        <v>615021</v>
      </c>
      <c r="BB121" s="9">
        <v>436919</v>
      </c>
      <c r="BC121" s="9">
        <v>436919</v>
      </c>
      <c r="BD121" s="9">
        <v>1353122</v>
      </c>
      <c r="BE121" s="9">
        <v>1353122</v>
      </c>
      <c r="BF121" s="9">
        <v>14108</v>
      </c>
      <c r="BG121" s="9">
        <v>70971</v>
      </c>
      <c r="BH121" s="9"/>
      <c r="BI121" s="9"/>
      <c r="BJ121" s="9">
        <v>-104352</v>
      </c>
      <c r="BK121" s="9">
        <v>-104352</v>
      </c>
      <c r="BL121" s="46">
        <f t="shared" si="42"/>
        <v>5284529.22</v>
      </c>
      <c r="BM121" s="46">
        <f t="shared" si="43"/>
        <v>6255023.6799999997</v>
      </c>
    </row>
    <row r="122" spans="1:65" s="7" customFormat="1" x14ac:dyDescent="0.25">
      <c r="A122" s="10" t="s">
        <v>192</v>
      </c>
      <c r="B122" s="10">
        <v>22231</v>
      </c>
      <c r="C122" s="10">
        <v>58596</v>
      </c>
      <c r="D122" s="10">
        <v>41003</v>
      </c>
      <c r="E122" s="10">
        <v>124952</v>
      </c>
      <c r="F122" s="10">
        <v>121677</v>
      </c>
      <c r="G122" s="10">
        <v>535736</v>
      </c>
      <c r="H122" s="10">
        <v>208637</v>
      </c>
      <c r="I122" s="10">
        <v>602884</v>
      </c>
      <c r="J122" s="10">
        <v>96961</v>
      </c>
      <c r="K122" s="10">
        <v>273044</v>
      </c>
      <c r="L122" s="10">
        <v>103550</v>
      </c>
      <c r="M122" s="10">
        <v>293685</v>
      </c>
      <c r="N122" s="10">
        <v>136089</v>
      </c>
      <c r="O122" s="10">
        <v>376732</v>
      </c>
      <c r="P122" s="10">
        <v>23523.119999999999</v>
      </c>
      <c r="Q122" s="10">
        <v>63323.839999999997</v>
      </c>
      <c r="R122" s="10">
        <v>7975.93</v>
      </c>
      <c r="S122" s="10">
        <v>22150.21</v>
      </c>
      <c r="T122" s="10">
        <v>74973.17</v>
      </c>
      <c r="U122" s="10">
        <v>203687.97</v>
      </c>
      <c r="V122" s="10">
        <v>210748</v>
      </c>
      <c r="W122" s="10">
        <v>590383</v>
      </c>
      <c r="X122" s="10">
        <v>379206</v>
      </c>
      <c r="Y122" s="10">
        <v>1109683</v>
      </c>
      <c r="Z122" s="10">
        <v>162900</v>
      </c>
      <c r="AA122" s="10">
        <v>465751</v>
      </c>
      <c r="AB122" s="10">
        <v>17978</v>
      </c>
      <c r="AC122" s="10">
        <v>49719</v>
      </c>
      <c r="AD122" s="10">
        <v>40482</v>
      </c>
      <c r="AE122" s="10">
        <v>111886</v>
      </c>
      <c r="AF122" s="10">
        <v>41708</v>
      </c>
      <c r="AG122" s="10">
        <v>107697</v>
      </c>
      <c r="AH122" s="10">
        <v>28145.360000000001</v>
      </c>
      <c r="AI122" s="10">
        <v>77580.679999999993</v>
      </c>
      <c r="AJ122" s="10">
        <v>296987.94</v>
      </c>
      <c r="AK122" s="10">
        <v>944633.16</v>
      </c>
      <c r="AL122" s="10">
        <v>2423</v>
      </c>
      <c r="AM122" s="10">
        <v>7858</v>
      </c>
      <c r="AN122" s="10">
        <v>64823</v>
      </c>
      <c r="AO122" s="10">
        <v>180367</v>
      </c>
      <c r="AP122" s="10">
        <v>9770</v>
      </c>
      <c r="AQ122" s="10">
        <v>27100</v>
      </c>
      <c r="AR122" s="10">
        <v>159894</v>
      </c>
      <c r="AS122" s="10">
        <v>452380</v>
      </c>
      <c r="AT122" s="10">
        <v>62947</v>
      </c>
      <c r="AU122" s="10">
        <v>178495</v>
      </c>
      <c r="AV122" s="10">
        <v>126414</v>
      </c>
      <c r="AW122" s="10">
        <v>346789</v>
      </c>
      <c r="AX122" s="10">
        <v>46327</v>
      </c>
      <c r="AY122" s="10">
        <v>130181</v>
      </c>
      <c r="AZ122" s="10">
        <v>286724</v>
      </c>
      <c r="BA122" s="10">
        <v>834908</v>
      </c>
      <c r="BB122" s="10">
        <v>208798</v>
      </c>
      <c r="BC122" s="10">
        <v>616157</v>
      </c>
      <c r="BD122" s="10">
        <v>786108</v>
      </c>
      <c r="BE122" s="10">
        <v>2235117</v>
      </c>
      <c r="BF122" s="10">
        <v>299258</v>
      </c>
      <c r="BG122" s="10">
        <v>973524</v>
      </c>
      <c r="BH122" s="10">
        <v>474941</v>
      </c>
      <c r="BI122" s="10">
        <v>1161632</v>
      </c>
      <c r="BJ122" s="10">
        <v>65562</v>
      </c>
      <c r="BK122" s="10">
        <v>162581</v>
      </c>
      <c r="BL122" s="42">
        <f t="shared" si="42"/>
        <v>4608764.5200000005</v>
      </c>
      <c r="BM122" s="42">
        <f t="shared" si="43"/>
        <v>13319212.859999999</v>
      </c>
    </row>
  </sheetData>
  <mergeCells count="352">
    <mergeCell ref="BL59:BM59"/>
    <mergeCell ref="AT59:AU59"/>
    <mergeCell ref="AV59:AW59"/>
    <mergeCell ref="AX59:AY59"/>
    <mergeCell ref="AZ59:BA59"/>
    <mergeCell ref="BB59:BC59"/>
    <mergeCell ref="BD59:BE59"/>
    <mergeCell ref="BF59:BG59"/>
    <mergeCell ref="BH59:BI59"/>
    <mergeCell ref="BJ59:BK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AV70:AW70"/>
    <mergeCell ref="AX70:AY70"/>
    <mergeCell ref="AZ70:BA70"/>
    <mergeCell ref="BB70:BC70"/>
    <mergeCell ref="P70:Q70"/>
    <mergeCell ref="R70:S70"/>
    <mergeCell ref="T70:U70"/>
    <mergeCell ref="BJ48:BK48"/>
    <mergeCell ref="BL48:BM48"/>
    <mergeCell ref="BD48:BE48"/>
    <mergeCell ref="BJ70:BK70"/>
    <mergeCell ref="BL70:BM70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L37:M37"/>
    <mergeCell ref="N37:O37"/>
    <mergeCell ref="AB48:AC48"/>
    <mergeCell ref="AR37:AS37"/>
    <mergeCell ref="B70:C70"/>
    <mergeCell ref="D70:E70"/>
    <mergeCell ref="F70:G70"/>
    <mergeCell ref="H70:I70"/>
    <mergeCell ref="P37:Q37"/>
    <mergeCell ref="R37:S37"/>
    <mergeCell ref="T37:U37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6" customWidth="1"/>
    <col min="2" max="65" width="16" style="6" customWidth="1"/>
    <col min="66" max="16384" width="9.140625" style="6"/>
  </cols>
  <sheetData>
    <row r="1" spans="1:65" ht="18.75" x14ac:dyDescent="0.3">
      <c r="A1" s="4" t="s">
        <v>191</v>
      </c>
    </row>
    <row r="2" spans="1:65" x14ac:dyDescent="0.25">
      <c r="A2" s="5" t="s">
        <v>98</v>
      </c>
    </row>
    <row r="3" spans="1:65" x14ac:dyDescent="0.25">
      <c r="A3" s="18" t="s">
        <v>182</v>
      </c>
    </row>
    <row r="4" spans="1:65" x14ac:dyDescent="0.25">
      <c r="A4" s="3" t="s">
        <v>0</v>
      </c>
      <c r="B4" s="127" t="s">
        <v>1</v>
      </c>
      <c r="C4" s="128"/>
      <c r="D4" s="127" t="s">
        <v>232</v>
      </c>
      <c r="E4" s="128"/>
      <c r="F4" s="127" t="s">
        <v>2</v>
      </c>
      <c r="G4" s="128"/>
      <c r="H4" s="127" t="s">
        <v>3</v>
      </c>
      <c r="I4" s="128"/>
      <c r="J4" s="127" t="s">
        <v>241</v>
      </c>
      <c r="K4" s="128"/>
      <c r="L4" s="127" t="s">
        <v>233</v>
      </c>
      <c r="M4" s="128"/>
      <c r="N4" s="127" t="s">
        <v>244</v>
      </c>
      <c r="O4" s="128"/>
      <c r="P4" s="127" t="s">
        <v>5</v>
      </c>
      <c r="Q4" s="128"/>
      <c r="R4" s="127" t="s">
        <v>4</v>
      </c>
      <c r="S4" s="128"/>
      <c r="T4" s="127" t="s">
        <v>6</v>
      </c>
      <c r="U4" s="128"/>
      <c r="V4" s="127" t="s">
        <v>7</v>
      </c>
      <c r="W4" s="128"/>
      <c r="X4" s="127" t="s">
        <v>8</v>
      </c>
      <c r="Y4" s="128"/>
      <c r="Z4" s="127" t="s">
        <v>9</v>
      </c>
      <c r="AA4" s="128"/>
      <c r="AB4" s="127" t="s">
        <v>240</v>
      </c>
      <c r="AC4" s="128"/>
      <c r="AD4" s="127" t="s">
        <v>10</v>
      </c>
      <c r="AE4" s="128"/>
      <c r="AF4" s="127" t="s">
        <v>11</v>
      </c>
      <c r="AG4" s="128"/>
      <c r="AH4" s="127" t="s">
        <v>234</v>
      </c>
      <c r="AI4" s="128"/>
      <c r="AJ4" s="127" t="s">
        <v>12</v>
      </c>
      <c r="AK4" s="128"/>
      <c r="AL4" s="127" t="s">
        <v>235</v>
      </c>
      <c r="AM4" s="128"/>
      <c r="AN4" s="127" t="s">
        <v>293</v>
      </c>
      <c r="AO4" s="128"/>
      <c r="AP4" s="127" t="s">
        <v>236</v>
      </c>
      <c r="AQ4" s="128"/>
      <c r="AR4" s="127" t="s">
        <v>239</v>
      </c>
      <c r="AS4" s="128"/>
      <c r="AT4" s="127" t="s">
        <v>13</v>
      </c>
      <c r="AU4" s="128"/>
      <c r="AV4" s="127" t="s">
        <v>14</v>
      </c>
      <c r="AW4" s="128"/>
      <c r="AX4" s="127" t="s">
        <v>15</v>
      </c>
      <c r="AY4" s="128"/>
      <c r="AZ4" s="127" t="s">
        <v>16</v>
      </c>
      <c r="BA4" s="128"/>
      <c r="BB4" s="127" t="s">
        <v>17</v>
      </c>
      <c r="BC4" s="128"/>
      <c r="BD4" s="127" t="s">
        <v>237</v>
      </c>
      <c r="BE4" s="128"/>
      <c r="BF4" s="127" t="s">
        <v>238</v>
      </c>
      <c r="BG4" s="128"/>
      <c r="BH4" s="127" t="s">
        <v>18</v>
      </c>
      <c r="BI4" s="128"/>
      <c r="BJ4" s="127" t="s">
        <v>19</v>
      </c>
      <c r="BK4" s="128"/>
      <c r="BL4" s="129" t="s">
        <v>20</v>
      </c>
      <c r="BM4" s="130"/>
    </row>
    <row r="5" spans="1:65" ht="30" x14ac:dyDescent="0.25">
      <c r="A5" s="3"/>
      <c r="B5" s="32" t="s">
        <v>299</v>
      </c>
      <c r="C5" s="33" t="s">
        <v>298</v>
      </c>
      <c r="D5" s="32" t="s">
        <v>299</v>
      </c>
      <c r="E5" s="33" t="s">
        <v>298</v>
      </c>
      <c r="F5" s="32" t="s">
        <v>299</v>
      </c>
      <c r="G5" s="33" t="s">
        <v>298</v>
      </c>
      <c r="H5" s="32" t="s">
        <v>299</v>
      </c>
      <c r="I5" s="33" t="s">
        <v>298</v>
      </c>
      <c r="J5" s="32" t="s">
        <v>299</v>
      </c>
      <c r="K5" s="33" t="s">
        <v>298</v>
      </c>
      <c r="L5" s="32" t="s">
        <v>299</v>
      </c>
      <c r="M5" s="33" t="s">
        <v>298</v>
      </c>
      <c r="N5" s="32" t="s">
        <v>299</v>
      </c>
      <c r="O5" s="33" t="s">
        <v>298</v>
      </c>
      <c r="P5" s="32" t="s">
        <v>299</v>
      </c>
      <c r="Q5" s="33" t="s">
        <v>298</v>
      </c>
      <c r="R5" s="32" t="s">
        <v>299</v>
      </c>
      <c r="S5" s="33" t="s">
        <v>298</v>
      </c>
      <c r="T5" s="32" t="s">
        <v>299</v>
      </c>
      <c r="U5" s="33" t="s">
        <v>298</v>
      </c>
      <c r="V5" s="32" t="s">
        <v>299</v>
      </c>
      <c r="W5" s="33" t="s">
        <v>298</v>
      </c>
      <c r="X5" s="32" t="s">
        <v>299</v>
      </c>
      <c r="Y5" s="33" t="s">
        <v>298</v>
      </c>
      <c r="Z5" s="32" t="s">
        <v>299</v>
      </c>
      <c r="AA5" s="33" t="s">
        <v>298</v>
      </c>
      <c r="AB5" s="32" t="s">
        <v>299</v>
      </c>
      <c r="AC5" s="33" t="s">
        <v>298</v>
      </c>
      <c r="AD5" s="32" t="s">
        <v>299</v>
      </c>
      <c r="AE5" s="33" t="s">
        <v>298</v>
      </c>
      <c r="AF5" s="32" t="s">
        <v>299</v>
      </c>
      <c r="AG5" s="33" t="s">
        <v>298</v>
      </c>
      <c r="AH5" s="32" t="s">
        <v>299</v>
      </c>
      <c r="AI5" s="33" t="s">
        <v>298</v>
      </c>
      <c r="AJ5" s="32" t="s">
        <v>299</v>
      </c>
      <c r="AK5" s="33" t="s">
        <v>298</v>
      </c>
      <c r="AL5" s="32" t="s">
        <v>299</v>
      </c>
      <c r="AM5" s="33" t="s">
        <v>298</v>
      </c>
      <c r="AN5" s="32" t="s">
        <v>299</v>
      </c>
      <c r="AO5" s="33" t="s">
        <v>298</v>
      </c>
      <c r="AP5" s="32" t="s">
        <v>299</v>
      </c>
      <c r="AQ5" s="33" t="s">
        <v>298</v>
      </c>
      <c r="AR5" s="32" t="s">
        <v>299</v>
      </c>
      <c r="AS5" s="33" t="s">
        <v>298</v>
      </c>
      <c r="AT5" s="32" t="s">
        <v>299</v>
      </c>
      <c r="AU5" s="33" t="s">
        <v>298</v>
      </c>
      <c r="AV5" s="32" t="s">
        <v>299</v>
      </c>
      <c r="AW5" s="33" t="s">
        <v>298</v>
      </c>
      <c r="AX5" s="32" t="s">
        <v>299</v>
      </c>
      <c r="AY5" s="33" t="s">
        <v>298</v>
      </c>
      <c r="AZ5" s="32" t="s">
        <v>299</v>
      </c>
      <c r="BA5" s="33" t="s">
        <v>298</v>
      </c>
      <c r="BB5" s="32" t="s">
        <v>299</v>
      </c>
      <c r="BC5" s="33" t="s">
        <v>298</v>
      </c>
      <c r="BD5" s="32" t="s">
        <v>299</v>
      </c>
      <c r="BE5" s="33" t="s">
        <v>298</v>
      </c>
      <c r="BF5" s="32" t="s">
        <v>299</v>
      </c>
      <c r="BG5" s="33" t="s">
        <v>298</v>
      </c>
      <c r="BH5" s="32" t="s">
        <v>299</v>
      </c>
      <c r="BI5" s="33" t="s">
        <v>298</v>
      </c>
      <c r="BJ5" s="32" t="s">
        <v>299</v>
      </c>
      <c r="BK5" s="33" t="s">
        <v>298</v>
      </c>
      <c r="BL5" s="32" t="s">
        <v>299</v>
      </c>
      <c r="BM5" s="33" t="s">
        <v>298</v>
      </c>
    </row>
    <row r="6" spans="1:65" x14ac:dyDescent="0.25">
      <c r="A6" s="2" t="s">
        <v>273</v>
      </c>
      <c r="B6" s="9"/>
      <c r="C6" s="9"/>
      <c r="D6" s="9"/>
      <c r="E6" s="9"/>
      <c r="F6" s="9"/>
      <c r="G6" s="9"/>
      <c r="H6" s="9">
        <v>9092</v>
      </c>
      <c r="I6" s="9">
        <v>26542</v>
      </c>
      <c r="J6" s="9"/>
      <c r="K6" s="9"/>
      <c r="L6" s="9">
        <v>12520</v>
      </c>
      <c r="M6" s="9">
        <v>18306</v>
      </c>
      <c r="N6" s="9">
        <v>1042</v>
      </c>
      <c r="O6" s="9">
        <v>2369</v>
      </c>
      <c r="P6" s="9"/>
      <c r="Q6" s="9"/>
      <c r="R6" s="9">
        <v>62.98</v>
      </c>
      <c r="S6" s="9">
        <v>240.57</v>
      </c>
      <c r="T6" s="9">
        <v>6624.72</v>
      </c>
      <c r="U6" s="9">
        <v>12109.89</v>
      </c>
      <c r="V6" s="9">
        <v>21518</v>
      </c>
      <c r="W6" s="9">
        <v>40337</v>
      </c>
      <c r="X6" s="9">
        <v>38732</v>
      </c>
      <c r="Y6" s="9">
        <v>77204</v>
      </c>
      <c r="Z6" s="9">
        <v>27748</v>
      </c>
      <c r="AA6" s="9">
        <v>38776</v>
      </c>
      <c r="AB6" s="9">
        <v>272</v>
      </c>
      <c r="AC6" s="9">
        <v>808</v>
      </c>
      <c r="AD6" s="9">
        <v>717</v>
      </c>
      <c r="AE6" s="9">
        <v>1661</v>
      </c>
      <c r="AF6" s="9">
        <v>735</v>
      </c>
      <c r="AG6" s="9">
        <v>1392</v>
      </c>
      <c r="AH6" s="9"/>
      <c r="AI6" s="9"/>
      <c r="AJ6" s="9">
        <v>-70.12</v>
      </c>
      <c r="AK6" s="9">
        <v>38908.18</v>
      </c>
      <c r="AL6" s="9">
        <v>14</v>
      </c>
      <c r="AM6" s="9">
        <v>41</v>
      </c>
      <c r="AN6" s="9"/>
      <c r="AO6" s="9"/>
      <c r="AP6" s="9">
        <v>61</v>
      </c>
      <c r="AQ6" s="9">
        <v>152</v>
      </c>
      <c r="AR6" s="9">
        <v>4020</v>
      </c>
      <c r="AS6" s="9">
        <v>12782</v>
      </c>
      <c r="AT6" s="9">
        <v>1319</v>
      </c>
      <c r="AU6" s="9">
        <v>3769</v>
      </c>
      <c r="AV6" s="9">
        <v>7767</v>
      </c>
      <c r="AW6" s="9">
        <v>26363</v>
      </c>
      <c r="AX6" s="9">
        <v>166</v>
      </c>
      <c r="AY6" s="9">
        <v>1205</v>
      </c>
      <c r="AZ6" s="9"/>
      <c r="BA6" s="9"/>
      <c r="BB6" s="9">
        <v>13260</v>
      </c>
      <c r="BC6" s="9">
        <v>31059</v>
      </c>
      <c r="BD6" s="9">
        <v>38447</v>
      </c>
      <c r="BE6" s="9">
        <v>146783</v>
      </c>
      <c r="BF6" s="9">
        <v>11711</v>
      </c>
      <c r="BG6" s="9">
        <v>45813</v>
      </c>
      <c r="BH6" s="9">
        <v>12706</v>
      </c>
      <c r="BI6" s="9">
        <v>69330</v>
      </c>
      <c r="BJ6" s="9">
        <v>733</v>
      </c>
      <c r="BK6" s="9">
        <v>2692</v>
      </c>
      <c r="BL6" s="46">
        <f>SUM(B6+D6+F6+H6+J6+L6+N6+P6+R6+T6+V6+X6+Z6+AB6+AD6+AF6+AH6+AJ6+AL6+AN6+AP6+AR6+AT6+AV6+AX6+AZ6+BB6+BD6+BF6+BH6+BJ6)</f>
        <v>209197.58000000002</v>
      </c>
      <c r="BM6" s="46">
        <f>SUM(C6+E6+G6+I6+K6+M6+O6+Q6+S6+U6+W6+Y6+AA6+AC6+AE6+AG6+AI6+AK6+AM6+AO6+AQ6+AS6+AU6+AW6+AY6+BA6+BC6+BE6+BG6+BI6+BK6)</f>
        <v>598642.64</v>
      </c>
    </row>
    <row r="7" spans="1:65" x14ac:dyDescent="0.25">
      <c r="A7" s="2" t="s">
        <v>274</v>
      </c>
      <c r="B7" s="9"/>
      <c r="C7" s="9"/>
      <c r="D7" s="9"/>
      <c r="E7" s="9"/>
      <c r="F7" s="9"/>
      <c r="G7" s="9"/>
      <c r="H7" s="9">
        <v>150</v>
      </c>
      <c r="I7" s="9">
        <v>1098</v>
      </c>
      <c r="J7" s="9"/>
      <c r="K7" s="9"/>
      <c r="L7" s="9">
        <v>1</v>
      </c>
      <c r="M7" s="9">
        <v>1</v>
      </c>
      <c r="N7" s="9">
        <v>372</v>
      </c>
      <c r="O7" s="9">
        <v>4225</v>
      </c>
      <c r="P7" s="9"/>
      <c r="Q7" s="9"/>
      <c r="R7" s="9">
        <v>11.92</v>
      </c>
      <c r="S7" s="9">
        <v>17.57</v>
      </c>
      <c r="T7" s="9">
        <v>1057.21</v>
      </c>
      <c r="U7" s="9">
        <v>1605.92</v>
      </c>
      <c r="V7" s="9">
        <v>346</v>
      </c>
      <c r="W7" s="9">
        <v>3116</v>
      </c>
      <c r="X7" s="9">
        <v>1141</v>
      </c>
      <c r="Y7" s="9">
        <v>1886</v>
      </c>
      <c r="Z7" s="9">
        <v>241</v>
      </c>
      <c r="AA7" s="9">
        <v>465</v>
      </c>
      <c r="AB7" s="9">
        <v>41</v>
      </c>
      <c r="AC7" s="9">
        <v>100</v>
      </c>
      <c r="AD7" s="9">
        <v>0</v>
      </c>
      <c r="AE7" s="9">
        <v>0</v>
      </c>
      <c r="AF7" s="9">
        <v>291</v>
      </c>
      <c r="AG7" s="9">
        <v>986</v>
      </c>
      <c r="AH7" s="9"/>
      <c r="AI7" s="9"/>
      <c r="AJ7" s="9">
        <v>4038.03</v>
      </c>
      <c r="AK7" s="9">
        <v>6554.24</v>
      </c>
      <c r="AL7" s="9"/>
      <c r="AM7" s="9"/>
      <c r="AN7" s="9"/>
      <c r="AO7" s="9"/>
      <c r="AP7" s="9">
        <v>10</v>
      </c>
      <c r="AQ7" s="9">
        <v>176</v>
      </c>
      <c r="AR7" s="9">
        <v>340</v>
      </c>
      <c r="AS7" s="9">
        <v>680</v>
      </c>
      <c r="AT7" s="9">
        <v>123</v>
      </c>
      <c r="AU7" s="9">
        <v>746</v>
      </c>
      <c r="AV7" s="9"/>
      <c r="AW7" s="9">
        <v>0</v>
      </c>
      <c r="AX7" s="9">
        <v>0</v>
      </c>
      <c r="AY7" s="9">
        <v>0</v>
      </c>
      <c r="AZ7" s="9"/>
      <c r="BA7" s="9"/>
      <c r="BB7" s="9">
        <v>552</v>
      </c>
      <c r="BC7" s="9">
        <v>1965</v>
      </c>
      <c r="BD7" s="9">
        <v>11536</v>
      </c>
      <c r="BE7" s="9">
        <v>35401</v>
      </c>
      <c r="BF7" s="9">
        <v>1086</v>
      </c>
      <c r="BG7" s="9">
        <v>4484</v>
      </c>
      <c r="BH7" s="9">
        <v>766</v>
      </c>
      <c r="BI7" s="9">
        <v>3390</v>
      </c>
      <c r="BJ7" s="9">
        <v>0</v>
      </c>
      <c r="BK7" s="9">
        <v>81</v>
      </c>
      <c r="BL7" s="46">
        <f t="shared" ref="BL7:BL12" si="0">SUM(B7+D7+F7+H7+J7+L7+N7+P7+R7+T7+V7+X7+Z7+AB7+AD7+AF7+AH7+AJ7+AL7+AN7+AP7+AR7+AT7+AV7+AX7+AZ7+BB7+BD7+BF7+BH7+BJ7)</f>
        <v>22103.16</v>
      </c>
      <c r="BM7" s="46">
        <f t="shared" ref="BM7:BM12" si="1">SUM(C7+E7+G7+I7+K7+M7+O7+Q7+S7+U7+W7+Y7+AA7+AC7+AE7+AG7+AI7+AK7+AM7+AO7+AQ7+AS7+AU7+AW7+AY7+BA7+BC7+BE7+BG7+BI7+BK7)</f>
        <v>66977.73</v>
      </c>
    </row>
    <row r="8" spans="1:65" x14ac:dyDescent="0.25">
      <c r="A8" s="2" t="s">
        <v>275</v>
      </c>
      <c r="B8" s="9"/>
      <c r="C8" s="9"/>
      <c r="D8" s="9"/>
      <c r="E8" s="9"/>
      <c r="F8" s="9"/>
      <c r="G8" s="9"/>
      <c r="H8" s="9">
        <v>-7207</v>
      </c>
      <c r="I8" s="9">
        <v>-21957</v>
      </c>
      <c r="J8" s="9"/>
      <c r="K8" s="9"/>
      <c r="L8" s="9">
        <v>11283</v>
      </c>
      <c r="M8" s="9">
        <v>13930</v>
      </c>
      <c r="N8" s="9">
        <v>1060</v>
      </c>
      <c r="O8" s="9">
        <v>5448</v>
      </c>
      <c r="P8" s="9"/>
      <c r="Q8" s="9"/>
      <c r="R8" s="9">
        <v>68.53</v>
      </c>
      <c r="S8" s="9">
        <v>235.1</v>
      </c>
      <c r="T8" s="9">
        <v>4935.55</v>
      </c>
      <c r="U8" s="9">
        <v>8611.7999999999993</v>
      </c>
      <c r="V8" s="9">
        <v>-19052</v>
      </c>
      <c r="W8" s="9">
        <v>-34971</v>
      </c>
      <c r="X8" s="9">
        <v>32140</v>
      </c>
      <c r="Y8" s="9">
        <v>61235</v>
      </c>
      <c r="Z8" s="9">
        <v>26504</v>
      </c>
      <c r="AA8" s="9">
        <v>35522</v>
      </c>
      <c r="AB8" s="9">
        <v>229</v>
      </c>
      <c r="AC8" s="9">
        <v>674</v>
      </c>
      <c r="AD8" s="9">
        <v>492</v>
      </c>
      <c r="AE8" s="9">
        <v>978</v>
      </c>
      <c r="AF8" s="9">
        <v>-518</v>
      </c>
      <c r="AG8" s="9">
        <v>-1481</v>
      </c>
      <c r="AH8" s="9"/>
      <c r="AI8" s="9"/>
      <c r="AJ8" s="9">
        <v>-919.67</v>
      </c>
      <c r="AK8" s="9">
        <v>7309.79</v>
      </c>
      <c r="AL8" s="9">
        <v>-6</v>
      </c>
      <c r="AM8" s="9">
        <v>-13</v>
      </c>
      <c r="AN8" s="9"/>
      <c r="AO8" s="9"/>
      <c r="AP8" s="9">
        <v>60</v>
      </c>
      <c r="AQ8" s="9">
        <v>269</v>
      </c>
      <c r="AR8" s="9">
        <v>2627</v>
      </c>
      <c r="AS8" s="9">
        <v>9759</v>
      </c>
      <c r="AT8" s="9">
        <v>1129</v>
      </c>
      <c r="AU8" s="9">
        <v>3470</v>
      </c>
      <c r="AV8" s="9">
        <v>4408</v>
      </c>
      <c r="AW8" s="9">
        <v>16786</v>
      </c>
      <c r="AX8" s="9">
        <v>65</v>
      </c>
      <c r="AY8" s="9">
        <v>863</v>
      </c>
      <c r="AZ8" s="9"/>
      <c r="BA8" s="9"/>
      <c r="BB8" s="9">
        <v>10039</v>
      </c>
      <c r="BC8" s="9">
        <v>21820</v>
      </c>
      <c r="BD8" s="9">
        <v>16069</v>
      </c>
      <c r="BE8" s="9">
        <v>47345</v>
      </c>
      <c r="BF8" s="9">
        <v>5625</v>
      </c>
      <c r="BG8" s="9">
        <v>21316</v>
      </c>
      <c r="BH8" s="9">
        <v>3499</v>
      </c>
      <c r="BI8" s="9">
        <v>24140</v>
      </c>
      <c r="BJ8" s="9">
        <v>214</v>
      </c>
      <c r="BK8" s="9">
        <v>835</v>
      </c>
      <c r="BL8" s="46">
        <f t="shared" si="0"/>
        <v>92744.41</v>
      </c>
      <c r="BM8" s="46">
        <f t="shared" si="1"/>
        <v>222124.69</v>
      </c>
    </row>
    <row r="9" spans="1:65" s="7" customFormat="1" x14ac:dyDescent="0.25">
      <c r="A9" s="3" t="s">
        <v>276</v>
      </c>
      <c r="B9" s="10"/>
      <c r="C9" s="10"/>
      <c r="D9" s="10"/>
      <c r="E9" s="10"/>
      <c r="F9" s="10"/>
      <c r="G9" s="10"/>
      <c r="H9" s="10">
        <v>2036</v>
      </c>
      <c r="I9" s="10">
        <v>5683</v>
      </c>
      <c r="J9" s="10"/>
      <c r="K9" s="10"/>
      <c r="L9" s="10">
        <v>1238</v>
      </c>
      <c r="M9" s="10">
        <v>4377</v>
      </c>
      <c r="N9" s="10">
        <v>354</v>
      </c>
      <c r="O9" s="10">
        <v>1146</v>
      </c>
      <c r="P9" s="10"/>
      <c r="Q9" s="10"/>
      <c r="R9" s="10">
        <v>6.37</v>
      </c>
      <c r="S9" s="10">
        <v>23.04</v>
      </c>
      <c r="T9" s="10">
        <v>2746.38</v>
      </c>
      <c r="U9" s="10">
        <v>5104.01</v>
      </c>
      <c r="V9" s="10">
        <v>2812</v>
      </c>
      <c r="W9" s="10">
        <v>8481</v>
      </c>
      <c r="X9" s="10">
        <v>7733</v>
      </c>
      <c r="Y9" s="10">
        <v>17855</v>
      </c>
      <c r="Z9" s="10">
        <v>1485</v>
      </c>
      <c r="AA9" s="10">
        <v>3719</v>
      </c>
      <c r="AB9" s="10">
        <v>84</v>
      </c>
      <c r="AC9" s="10">
        <v>234</v>
      </c>
      <c r="AD9" s="10">
        <v>225</v>
      </c>
      <c r="AE9" s="10">
        <v>683</v>
      </c>
      <c r="AF9" s="10">
        <v>508</v>
      </c>
      <c r="AG9" s="10">
        <v>897</v>
      </c>
      <c r="AH9" s="10"/>
      <c r="AI9" s="10"/>
      <c r="AJ9" s="10">
        <v>4887.59</v>
      </c>
      <c r="AK9" s="10">
        <v>38152.639999999999</v>
      </c>
      <c r="AL9" s="10">
        <v>8</v>
      </c>
      <c r="AM9" s="10">
        <v>28</v>
      </c>
      <c r="AN9" s="10"/>
      <c r="AO9" s="10"/>
      <c r="AP9" s="10">
        <v>10</v>
      </c>
      <c r="AQ9" s="10">
        <v>59</v>
      </c>
      <c r="AR9" s="10">
        <v>1733</v>
      </c>
      <c r="AS9" s="10">
        <v>3703</v>
      </c>
      <c r="AT9" s="10">
        <v>312</v>
      </c>
      <c r="AU9" s="10">
        <v>1045</v>
      </c>
      <c r="AV9" s="10">
        <v>3360</v>
      </c>
      <c r="AW9" s="10">
        <v>9577</v>
      </c>
      <c r="AX9" s="10">
        <v>101</v>
      </c>
      <c r="AY9" s="10">
        <v>342</v>
      </c>
      <c r="AZ9" s="10"/>
      <c r="BA9" s="10"/>
      <c r="BB9" s="10">
        <v>3772</v>
      </c>
      <c r="BC9" s="10">
        <v>11205</v>
      </c>
      <c r="BD9" s="10">
        <v>33914</v>
      </c>
      <c r="BE9" s="10">
        <v>134839</v>
      </c>
      <c r="BF9" s="10">
        <v>7173</v>
      </c>
      <c r="BG9" s="10">
        <v>28981</v>
      </c>
      <c r="BH9" s="10">
        <v>9973</v>
      </c>
      <c r="BI9" s="10">
        <v>48581</v>
      </c>
      <c r="BJ9" s="10">
        <v>519</v>
      </c>
      <c r="BK9" s="10">
        <v>1938</v>
      </c>
      <c r="BL9" s="42">
        <f t="shared" si="0"/>
        <v>84990.34</v>
      </c>
      <c r="BM9" s="42">
        <f t="shared" si="1"/>
        <v>326652.69</v>
      </c>
    </row>
    <row r="10" spans="1:65" x14ac:dyDescent="0.25">
      <c r="A10" s="2" t="s">
        <v>277</v>
      </c>
      <c r="B10" s="9">
        <v>2</v>
      </c>
      <c r="C10" s="9">
        <v>2</v>
      </c>
      <c r="D10" s="9"/>
      <c r="E10" s="9"/>
      <c r="F10" s="9"/>
      <c r="G10" s="9"/>
      <c r="H10" s="9">
        <v>20625</v>
      </c>
      <c r="I10" s="9">
        <v>20625</v>
      </c>
      <c r="J10" s="9"/>
      <c r="K10" s="9"/>
      <c r="L10" s="9">
        <v>7230</v>
      </c>
      <c r="M10" s="9">
        <v>7230</v>
      </c>
      <c r="N10" s="9">
        <v>6514</v>
      </c>
      <c r="O10" s="9">
        <v>6514</v>
      </c>
      <c r="P10" s="9"/>
      <c r="Q10" s="9"/>
      <c r="R10" s="9">
        <v>912.88</v>
      </c>
      <c r="S10" s="9">
        <v>912.88</v>
      </c>
      <c r="T10" s="9">
        <v>13185.8</v>
      </c>
      <c r="U10" s="9">
        <v>13185.8</v>
      </c>
      <c r="V10" s="9">
        <v>31131</v>
      </c>
      <c r="W10" s="9">
        <v>31131</v>
      </c>
      <c r="X10" s="9">
        <v>63497</v>
      </c>
      <c r="Y10" s="9">
        <v>63497</v>
      </c>
      <c r="Z10" s="9">
        <v>636</v>
      </c>
      <c r="AA10" s="9">
        <v>14894</v>
      </c>
      <c r="AB10" s="9">
        <v>1397</v>
      </c>
      <c r="AC10" s="9">
        <v>1397</v>
      </c>
      <c r="AD10" s="9">
        <v>864</v>
      </c>
      <c r="AE10" s="9">
        <v>864</v>
      </c>
      <c r="AF10" s="9">
        <v>3305</v>
      </c>
      <c r="AG10" s="9">
        <v>3305</v>
      </c>
      <c r="AH10" s="9"/>
      <c r="AI10" s="9"/>
      <c r="AJ10" s="9">
        <v>2698.45</v>
      </c>
      <c r="AK10" s="9">
        <v>135454.79999999999</v>
      </c>
      <c r="AL10" s="9">
        <v>328</v>
      </c>
      <c r="AM10" s="9">
        <v>328</v>
      </c>
      <c r="AN10" s="9"/>
      <c r="AO10" s="9"/>
      <c r="AP10" s="9">
        <v>394</v>
      </c>
      <c r="AQ10" s="9">
        <v>394</v>
      </c>
      <c r="AR10" s="9">
        <v>24948</v>
      </c>
      <c r="AS10" s="9">
        <v>24948</v>
      </c>
      <c r="AT10" s="9">
        <v>3331</v>
      </c>
      <c r="AU10" s="9">
        <v>3331</v>
      </c>
      <c r="AV10" s="9">
        <v>27817</v>
      </c>
      <c r="AW10" s="9">
        <v>27817</v>
      </c>
      <c r="AX10" s="9">
        <v>2587</v>
      </c>
      <c r="AY10" s="9">
        <v>2587</v>
      </c>
      <c r="AZ10" s="9"/>
      <c r="BA10" s="9"/>
      <c r="BB10" s="9">
        <v>26772</v>
      </c>
      <c r="BC10" s="9">
        <v>26772</v>
      </c>
      <c r="BD10" s="9">
        <v>396988</v>
      </c>
      <c r="BE10" s="9">
        <v>396988</v>
      </c>
      <c r="BF10" s="9">
        <v>3887</v>
      </c>
      <c r="BG10" s="9">
        <v>119680</v>
      </c>
      <c r="BH10" s="9"/>
      <c r="BI10" s="9"/>
      <c r="BJ10" s="9">
        <v>5439</v>
      </c>
      <c r="BK10" s="9">
        <v>5439</v>
      </c>
      <c r="BL10" s="46">
        <f t="shared" si="0"/>
        <v>644489.13</v>
      </c>
      <c r="BM10" s="46">
        <f t="shared" si="1"/>
        <v>907296.48</v>
      </c>
    </row>
    <row r="11" spans="1:65" ht="15" customHeight="1" x14ac:dyDescent="0.25">
      <c r="A11" s="2" t="s">
        <v>278</v>
      </c>
      <c r="B11" s="9">
        <v>2</v>
      </c>
      <c r="C11" s="9">
        <v>2</v>
      </c>
      <c r="D11" s="9"/>
      <c r="E11" s="9"/>
      <c r="F11" s="9"/>
      <c r="G11" s="9"/>
      <c r="H11" s="9">
        <v>20624</v>
      </c>
      <c r="I11" s="9">
        <v>19243</v>
      </c>
      <c r="J11" s="9"/>
      <c r="K11" s="9"/>
      <c r="L11" s="9">
        <v>7465</v>
      </c>
      <c r="M11" s="9">
        <v>5729</v>
      </c>
      <c r="N11" s="9">
        <v>5620</v>
      </c>
      <c r="O11" s="9">
        <v>4934</v>
      </c>
      <c r="P11" s="9"/>
      <c r="Q11" s="9"/>
      <c r="R11" s="9">
        <v>798.21</v>
      </c>
      <c r="S11" s="9">
        <v>778.11</v>
      </c>
      <c r="T11" s="9">
        <v>15611.32</v>
      </c>
      <c r="U11" s="9">
        <v>13703.96</v>
      </c>
      <c r="V11" s="9">
        <v>-30411</v>
      </c>
      <c r="W11" s="9">
        <v>-27538</v>
      </c>
      <c r="X11" s="9">
        <v>62851</v>
      </c>
      <c r="Y11" s="9">
        <v>57366</v>
      </c>
      <c r="Z11" s="9"/>
      <c r="AA11" s="9">
        <v>11462</v>
      </c>
      <c r="AB11" s="9">
        <v>1202</v>
      </c>
      <c r="AC11" s="9">
        <v>994</v>
      </c>
      <c r="AD11" s="9">
        <v>978</v>
      </c>
      <c r="AE11" s="9">
        <v>1319</v>
      </c>
      <c r="AF11" s="9">
        <v>-3279</v>
      </c>
      <c r="AG11" s="9">
        <v>-2510</v>
      </c>
      <c r="AH11" s="9"/>
      <c r="AI11" s="9"/>
      <c r="AJ11" s="9"/>
      <c r="AK11" s="9">
        <v>154717.39000000001</v>
      </c>
      <c r="AL11" s="9">
        <v>-288</v>
      </c>
      <c r="AM11" s="9">
        <v>-227</v>
      </c>
      <c r="AN11" s="9"/>
      <c r="AO11" s="9"/>
      <c r="AP11" s="9">
        <v>300</v>
      </c>
      <c r="AQ11" s="9">
        <v>307</v>
      </c>
      <c r="AR11" s="9">
        <v>25624</v>
      </c>
      <c r="AS11" s="9">
        <v>21580</v>
      </c>
      <c r="AT11" s="9">
        <v>3441</v>
      </c>
      <c r="AU11" s="9">
        <v>2979</v>
      </c>
      <c r="AV11" s="9">
        <v>28109</v>
      </c>
      <c r="AW11" s="9">
        <v>25146</v>
      </c>
      <c r="AX11" s="9">
        <v>2637</v>
      </c>
      <c r="AY11" s="9">
        <v>2381</v>
      </c>
      <c r="AZ11" s="9"/>
      <c r="BA11" s="9"/>
      <c r="BB11" s="9">
        <v>24502</v>
      </c>
      <c r="BC11" s="9">
        <v>21473</v>
      </c>
      <c r="BD11" s="9">
        <v>407526</v>
      </c>
      <c r="BE11" s="9">
        <v>416663</v>
      </c>
      <c r="BF11" s="9">
        <v>0</v>
      </c>
      <c r="BG11" s="9">
        <v>105717</v>
      </c>
      <c r="BH11" s="9"/>
      <c r="BI11" s="9"/>
      <c r="BJ11" s="9">
        <v>5138</v>
      </c>
      <c r="BK11" s="9">
        <v>4399</v>
      </c>
      <c r="BL11" s="46">
        <f t="shared" si="0"/>
        <v>578450.53</v>
      </c>
      <c r="BM11" s="46">
        <f t="shared" si="1"/>
        <v>840618.46</v>
      </c>
    </row>
    <row r="12" spans="1:65" s="7" customFormat="1" x14ac:dyDescent="0.25">
      <c r="A12" s="3" t="s">
        <v>279</v>
      </c>
      <c r="B12" s="10"/>
      <c r="C12" s="10"/>
      <c r="D12" s="10"/>
      <c r="E12" s="10"/>
      <c r="F12" s="10"/>
      <c r="G12" s="10"/>
      <c r="H12" s="10">
        <v>2037</v>
      </c>
      <c r="I12" s="10">
        <v>7065</v>
      </c>
      <c r="J12" s="10"/>
      <c r="K12" s="10"/>
      <c r="L12" s="10">
        <v>1003</v>
      </c>
      <c r="M12" s="10">
        <v>5879</v>
      </c>
      <c r="N12" s="10">
        <v>1248</v>
      </c>
      <c r="O12" s="10">
        <v>2726</v>
      </c>
      <c r="P12" s="10"/>
      <c r="Q12" s="10"/>
      <c r="R12" s="10">
        <v>121.04</v>
      </c>
      <c r="S12" s="10">
        <v>157.81</v>
      </c>
      <c r="T12" s="10">
        <v>320.85000000000002</v>
      </c>
      <c r="U12" s="10">
        <v>4585.84</v>
      </c>
      <c r="V12" s="10">
        <v>3532</v>
      </c>
      <c r="W12" s="10">
        <v>12074</v>
      </c>
      <c r="X12" s="10">
        <v>8379</v>
      </c>
      <c r="Y12" s="10">
        <v>23986</v>
      </c>
      <c r="Z12" s="10">
        <v>2121</v>
      </c>
      <c r="AA12" s="10">
        <v>7151</v>
      </c>
      <c r="AB12" s="10">
        <v>279</v>
      </c>
      <c r="AC12" s="10">
        <v>638</v>
      </c>
      <c r="AD12" s="10">
        <v>111</v>
      </c>
      <c r="AE12" s="10">
        <v>228</v>
      </c>
      <c r="AF12" s="10">
        <v>534</v>
      </c>
      <c r="AG12" s="10">
        <v>1693</v>
      </c>
      <c r="AH12" s="10"/>
      <c r="AI12" s="10"/>
      <c r="AJ12" s="10">
        <v>7586.04</v>
      </c>
      <c r="AK12" s="10">
        <v>18890.05</v>
      </c>
      <c r="AL12" s="10">
        <v>48</v>
      </c>
      <c r="AM12" s="10">
        <v>129</v>
      </c>
      <c r="AN12" s="10"/>
      <c r="AO12" s="10"/>
      <c r="AP12" s="10">
        <v>104</v>
      </c>
      <c r="AQ12" s="10">
        <v>145</v>
      </c>
      <c r="AR12" s="10">
        <v>1057</v>
      </c>
      <c r="AS12" s="10">
        <v>7070</v>
      </c>
      <c r="AT12" s="10">
        <v>202</v>
      </c>
      <c r="AU12" s="10">
        <v>1396</v>
      </c>
      <c r="AV12" s="10">
        <v>3068</v>
      </c>
      <c r="AW12" s="10">
        <v>12247</v>
      </c>
      <c r="AX12" s="10">
        <v>51</v>
      </c>
      <c r="AY12" s="10">
        <v>548</v>
      </c>
      <c r="AZ12" s="10"/>
      <c r="BA12" s="10"/>
      <c r="BB12" s="10">
        <v>6042</v>
      </c>
      <c r="BC12" s="10">
        <v>16504</v>
      </c>
      <c r="BD12" s="10">
        <v>23376</v>
      </c>
      <c r="BE12" s="10">
        <v>115164</v>
      </c>
      <c r="BF12" s="10">
        <v>11059</v>
      </c>
      <c r="BG12" s="10">
        <v>42945</v>
      </c>
      <c r="BH12" s="10">
        <v>9376</v>
      </c>
      <c r="BI12" s="10">
        <v>39940</v>
      </c>
      <c r="BJ12" s="10">
        <v>820</v>
      </c>
      <c r="BK12" s="10">
        <v>2978</v>
      </c>
      <c r="BL12" s="42">
        <f t="shared" si="0"/>
        <v>82474.929999999993</v>
      </c>
      <c r="BM12" s="42">
        <f t="shared" si="1"/>
        <v>324139.7</v>
      </c>
    </row>
    <row r="13" spans="1:65" x14ac:dyDescent="0.25">
      <c r="A13" s="5"/>
    </row>
    <row r="14" spans="1:65" x14ac:dyDescent="0.25">
      <c r="A14" s="18" t="s">
        <v>183</v>
      </c>
    </row>
    <row r="15" spans="1:65" x14ac:dyDescent="0.25">
      <c r="A15" s="3" t="s">
        <v>0</v>
      </c>
      <c r="B15" s="127" t="s">
        <v>1</v>
      </c>
      <c r="C15" s="128"/>
      <c r="D15" s="127" t="s">
        <v>232</v>
      </c>
      <c r="E15" s="128"/>
      <c r="F15" s="127" t="s">
        <v>2</v>
      </c>
      <c r="G15" s="128"/>
      <c r="H15" s="127" t="s">
        <v>3</v>
      </c>
      <c r="I15" s="128"/>
      <c r="J15" s="127" t="s">
        <v>241</v>
      </c>
      <c r="K15" s="128"/>
      <c r="L15" s="127" t="s">
        <v>233</v>
      </c>
      <c r="M15" s="128"/>
      <c r="N15" s="127" t="s">
        <v>244</v>
      </c>
      <c r="O15" s="128"/>
      <c r="P15" s="127" t="s">
        <v>5</v>
      </c>
      <c r="Q15" s="128"/>
      <c r="R15" s="127" t="s">
        <v>4</v>
      </c>
      <c r="S15" s="128"/>
      <c r="T15" s="127" t="s">
        <v>6</v>
      </c>
      <c r="U15" s="128"/>
      <c r="V15" s="127" t="s">
        <v>7</v>
      </c>
      <c r="W15" s="128"/>
      <c r="X15" s="127" t="s">
        <v>8</v>
      </c>
      <c r="Y15" s="128"/>
      <c r="Z15" s="127" t="s">
        <v>9</v>
      </c>
      <c r="AA15" s="128"/>
      <c r="AB15" s="127" t="s">
        <v>240</v>
      </c>
      <c r="AC15" s="128"/>
      <c r="AD15" s="127" t="s">
        <v>10</v>
      </c>
      <c r="AE15" s="128"/>
      <c r="AF15" s="127" t="s">
        <v>11</v>
      </c>
      <c r="AG15" s="128"/>
      <c r="AH15" s="127" t="s">
        <v>234</v>
      </c>
      <c r="AI15" s="128"/>
      <c r="AJ15" s="127" t="s">
        <v>12</v>
      </c>
      <c r="AK15" s="128"/>
      <c r="AL15" s="127" t="s">
        <v>235</v>
      </c>
      <c r="AM15" s="128"/>
      <c r="AN15" s="127" t="s">
        <v>293</v>
      </c>
      <c r="AO15" s="128"/>
      <c r="AP15" s="127" t="s">
        <v>236</v>
      </c>
      <c r="AQ15" s="128"/>
      <c r="AR15" s="127" t="s">
        <v>239</v>
      </c>
      <c r="AS15" s="128"/>
      <c r="AT15" s="127" t="s">
        <v>13</v>
      </c>
      <c r="AU15" s="128"/>
      <c r="AV15" s="127" t="s">
        <v>14</v>
      </c>
      <c r="AW15" s="128"/>
      <c r="AX15" s="127" t="s">
        <v>15</v>
      </c>
      <c r="AY15" s="128"/>
      <c r="AZ15" s="127" t="s">
        <v>16</v>
      </c>
      <c r="BA15" s="128"/>
      <c r="BB15" s="127" t="s">
        <v>17</v>
      </c>
      <c r="BC15" s="128"/>
      <c r="BD15" s="127" t="s">
        <v>237</v>
      </c>
      <c r="BE15" s="128"/>
      <c r="BF15" s="127" t="s">
        <v>238</v>
      </c>
      <c r="BG15" s="128"/>
      <c r="BH15" s="127" t="s">
        <v>18</v>
      </c>
      <c r="BI15" s="128"/>
      <c r="BJ15" s="127" t="s">
        <v>19</v>
      </c>
      <c r="BK15" s="128"/>
      <c r="BL15" s="129" t="s">
        <v>20</v>
      </c>
      <c r="BM15" s="130"/>
    </row>
    <row r="16" spans="1:65" ht="30" x14ac:dyDescent="0.25">
      <c r="A16" s="3"/>
      <c r="B16" s="32" t="s">
        <v>299</v>
      </c>
      <c r="C16" s="33" t="s">
        <v>298</v>
      </c>
      <c r="D16" s="32" t="s">
        <v>299</v>
      </c>
      <c r="E16" s="33" t="s">
        <v>298</v>
      </c>
      <c r="F16" s="32" t="s">
        <v>299</v>
      </c>
      <c r="G16" s="33" t="s">
        <v>298</v>
      </c>
      <c r="H16" s="32" t="s">
        <v>299</v>
      </c>
      <c r="I16" s="33" t="s">
        <v>298</v>
      </c>
      <c r="J16" s="32" t="s">
        <v>299</v>
      </c>
      <c r="K16" s="33" t="s">
        <v>298</v>
      </c>
      <c r="L16" s="32" t="s">
        <v>299</v>
      </c>
      <c r="M16" s="33" t="s">
        <v>298</v>
      </c>
      <c r="N16" s="32" t="s">
        <v>299</v>
      </c>
      <c r="O16" s="33" t="s">
        <v>298</v>
      </c>
      <c r="P16" s="32" t="s">
        <v>299</v>
      </c>
      <c r="Q16" s="33" t="s">
        <v>298</v>
      </c>
      <c r="R16" s="32" t="s">
        <v>299</v>
      </c>
      <c r="S16" s="33" t="s">
        <v>298</v>
      </c>
      <c r="T16" s="32" t="s">
        <v>299</v>
      </c>
      <c r="U16" s="33" t="s">
        <v>298</v>
      </c>
      <c r="V16" s="32" t="s">
        <v>299</v>
      </c>
      <c r="W16" s="33" t="s">
        <v>298</v>
      </c>
      <c r="X16" s="32" t="s">
        <v>299</v>
      </c>
      <c r="Y16" s="33" t="s">
        <v>298</v>
      </c>
      <c r="Z16" s="32" t="s">
        <v>299</v>
      </c>
      <c r="AA16" s="33" t="s">
        <v>298</v>
      </c>
      <c r="AB16" s="32" t="s">
        <v>299</v>
      </c>
      <c r="AC16" s="33" t="s">
        <v>298</v>
      </c>
      <c r="AD16" s="32" t="s">
        <v>299</v>
      </c>
      <c r="AE16" s="33" t="s">
        <v>298</v>
      </c>
      <c r="AF16" s="32" t="s">
        <v>299</v>
      </c>
      <c r="AG16" s="33" t="s">
        <v>298</v>
      </c>
      <c r="AH16" s="32" t="s">
        <v>299</v>
      </c>
      <c r="AI16" s="33" t="s">
        <v>298</v>
      </c>
      <c r="AJ16" s="32" t="s">
        <v>299</v>
      </c>
      <c r="AK16" s="33" t="s">
        <v>298</v>
      </c>
      <c r="AL16" s="32" t="s">
        <v>299</v>
      </c>
      <c r="AM16" s="33" t="s">
        <v>298</v>
      </c>
      <c r="AN16" s="32" t="s">
        <v>299</v>
      </c>
      <c r="AO16" s="33" t="s">
        <v>298</v>
      </c>
      <c r="AP16" s="32" t="s">
        <v>299</v>
      </c>
      <c r="AQ16" s="33" t="s">
        <v>298</v>
      </c>
      <c r="AR16" s="32" t="s">
        <v>299</v>
      </c>
      <c r="AS16" s="33" t="s">
        <v>298</v>
      </c>
      <c r="AT16" s="32" t="s">
        <v>299</v>
      </c>
      <c r="AU16" s="33" t="s">
        <v>298</v>
      </c>
      <c r="AV16" s="32" t="s">
        <v>299</v>
      </c>
      <c r="AW16" s="33" t="s">
        <v>298</v>
      </c>
      <c r="AX16" s="32" t="s">
        <v>299</v>
      </c>
      <c r="AY16" s="33" t="s">
        <v>298</v>
      </c>
      <c r="AZ16" s="32" t="s">
        <v>299</v>
      </c>
      <c r="BA16" s="33" t="s">
        <v>298</v>
      </c>
      <c r="BB16" s="32" t="s">
        <v>299</v>
      </c>
      <c r="BC16" s="33" t="s">
        <v>298</v>
      </c>
      <c r="BD16" s="32" t="s">
        <v>299</v>
      </c>
      <c r="BE16" s="33" t="s">
        <v>298</v>
      </c>
      <c r="BF16" s="32" t="s">
        <v>299</v>
      </c>
      <c r="BG16" s="33" t="s">
        <v>298</v>
      </c>
      <c r="BH16" s="32" t="s">
        <v>299</v>
      </c>
      <c r="BI16" s="33" t="s">
        <v>298</v>
      </c>
      <c r="BJ16" s="32" t="s">
        <v>299</v>
      </c>
      <c r="BK16" s="33" t="s">
        <v>298</v>
      </c>
      <c r="BL16" s="32" t="s">
        <v>299</v>
      </c>
      <c r="BM16" s="33" t="s">
        <v>298</v>
      </c>
    </row>
    <row r="17" spans="1:65" x14ac:dyDescent="0.25">
      <c r="A17" s="2" t="s">
        <v>273</v>
      </c>
      <c r="B17" s="9"/>
      <c r="C17" s="9"/>
      <c r="D17" s="9"/>
      <c r="E17" s="9"/>
      <c r="F17" s="9"/>
      <c r="G17" s="9"/>
      <c r="H17" s="9">
        <v>4260</v>
      </c>
      <c r="I17" s="9">
        <v>8852</v>
      </c>
      <c r="J17" s="9"/>
      <c r="K17" s="9"/>
      <c r="L17" s="9">
        <v>1393</v>
      </c>
      <c r="M17" s="9">
        <v>4979</v>
      </c>
      <c r="N17" s="9">
        <v>570</v>
      </c>
      <c r="O17" s="9">
        <v>1423</v>
      </c>
      <c r="P17" s="9"/>
      <c r="Q17" s="9"/>
      <c r="R17" s="9">
        <v>0.56999999999999995</v>
      </c>
      <c r="S17" s="9">
        <v>102.44</v>
      </c>
      <c r="T17" s="9">
        <v>1201.48</v>
      </c>
      <c r="U17" s="9">
        <v>8049.81</v>
      </c>
      <c r="V17" s="9">
        <v>3707</v>
      </c>
      <c r="W17" s="9">
        <v>17373</v>
      </c>
      <c r="X17" s="9">
        <v>17512</v>
      </c>
      <c r="Y17" s="9">
        <v>36842</v>
      </c>
      <c r="Z17" s="9">
        <v>4683</v>
      </c>
      <c r="AA17" s="9">
        <v>11294</v>
      </c>
      <c r="AB17" s="9">
        <v>733</v>
      </c>
      <c r="AC17" s="9">
        <v>1153</v>
      </c>
      <c r="AD17" s="9">
        <v>626</v>
      </c>
      <c r="AE17" s="9">
        <v>2281</v>
      </c>
      <c r="AF17" s="9">
        <v>325</v>
      </c>
      <c r="AG17" s="9">
        <v>1188</v>
      </c>
      <c r="AH17" s="9"/>
      <c r="AI17" s="9"/>
      <c r="AJ17" s="9">
        <v>1692.43</v>
      </c>
      <c r="AK17" s="9">
        <v>9230.2099999999991</v>
      </c>
      <c r="AL17" s="9"/>
      <c r="AM17" s="9"/>
      <c r="AN17" s="9"/>
      <c r="AO17" s="9"/>
      <c r="AP17" s="9">
        <v>0</v>
      </c>
      <c r="AQ17" s="9">
        <v>0</v>
      </c>
      <c r="AR17" s="9">
        <v>2065</v>
      </c>
      <c r="AS17" s="9">
        <v>6506</v>
      </c>
      <c r="AT17" s="9">
        <v>1059</v>
      </c>
      <c r="AU17" s="9">
        <v>2409</v>
      </c>
      <c r="AV17" s="9">
        <v>1477</v>
      </c>
      <c r="AW17" s="9">
        <v>4225</v>
      </c>
      <c r="AX17" s="9">
        <v>29</v>
      </c>
      <c r="AY17" s="9">
        <v>52</v>
      </c>
      <c r="AZ17" s="9"/>
      <c r="BA17" s="9"/>
      <c r="BB17" s="9">
        <v>9252</v>
      </c>
      <c r="BC17" s="9">
        <v>25138</v>
      </c>
      <c r="BD17" s="9">
        <v>8432</v>
      </c>
      <c r="BE17" s="9">
        <v>43704</v>
      </c>
      <c r="BF17" s="9">
        <v>4716</v>
      </c>
      <c r="BG17" s="9">
        <v>17980</v>
      </c>
      <c r="BH17" s="9">
        <v>3139</v>
      </c>
      <c r="BI17" s="9">
        <v>27467</v>
      </c>
      <c r="BJ17" s="9">
        <v>263</v>
      </c>
      <c r="BK17" s="9">
        <v>1067</v>
      </c>
      <c r="BL17" s="46">
        <f t="shared" ref="BL17:BL23" si="2">SUM(B17+D17+F17+H17+J17+L17+N17+P17+R17+T17+V17+X17+Z17+AB17+AD17+AF17+AH17+AJ17+AL17+AN17+AP17+AR17+AT17+AV17+AX17+AZ17+BB17+BD17+BF17+BH17+BJ17)</f>
        <v>67135.48000000001</v>
      </c>
      <c r="BM17" s="46">
        <f t="shared" ref="BM17:BM19" si="3">SUM(C17+E17+G17+I17+K17+M17+O17+Q17+S17+U17+W17+Y17+AA17+AC17+AE17+AG17+AI17+AK17+AM17+AO17+AQ17+AS17+AU17+AW17+AY17+BA17+BC17+BE17+BG17+BI17+BK17)</f>
        <v>231315.46</v>
      </c>
    </row>
    <row r="18" spans="1:65" x14ac:dyDescent="0.25">
      <c r="A18" s="2" t="s">
        <v>274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4</v>
      </c>
      <c r="O18" s="9">
        <v>4</v>
      </c>
      <c r="P18" s="9"/>
      <c r="Q18" s="9"/>
      <c r="R18" s="9"/>
      <c r="S18" s="9"/>
      <c r="T18" s="9">
        <v>4.43</v>
      </c>
      <c r="U18" s="9">
        <v>45.08</v>
      </c>
      <c r="V18" s="9">
        <v>61</v>
      </c>
      <c r="W18" s="9">
        <v>245</v>
      </c>
      <c r="X18" s="9">
        <v>156</v>
      </c>
      <c r="Y18" s="9">
        <v>728</v>
      </c>
      <c r="Z18" s="9">
        <v>15</v>
      </c>
      <c r="AA18" s="9">
        <v>687</v>
      </c>
      <c r="AB18" s="9"/>
      <c r="AC18" s="9">
        <v>0</v>
      </c>
      <c r="AD18" s="9"/>
      <c r="AE18" s="9"/>
      <c r="AF18" s="9">
        <v>36</v>
      </c>
      <c r="AG18" s="9">
        <v>403</v>
      </c>
      <c r="AH18" s="9"/>
      <c r="AI18" s="9"/>
      <c r="AJ18" s="9">
        <v>183.89</v>
      </c>
      <c r="AK18" s="9">
        <v>480.49</v>
      </c>
      <c r="AL18" s="9"/>
      <c r="AM18" s="9"/>
      <c r="AN18" s="9"/>
      <c r="AO18" s="9"/>
      <c r="AP18" s="9"/>
      <c r="AQ18" s="9"/>
      <c r="AR18" s="9">
        <v>17</v>
      </c>
      <c r="AS18" s="9">
        <v>357</v>
      </c>
      <c r="AT18" s="9"/>
      <c r="AU18" s="9">
        <v>0</v>
      </c>
      <c r="AV18" s="9">
        <v>104</v>
      </c>
      <c r="AW18" s="9">
        <v>295</v>
      </c>
      <c r="AX18" s="9"/>
      <c r="AY18" s="9"/>
      <c r="AZ18" s="9"/>
      <c r="BA18" s="9"/>
      <c r="BB18" s="9">
        <v>33156</v>
      </c>
      <c r="BC18" s="9">
        <v>39698</v>
      </c>
      <c r="BD18" s="9">
        <v>66</v>
      </c>
      <c r="BE18" s="9">
        <v>2148</v>
      </c>
      <c r="BF18" s="9">
        <v>146</v>
      </c>
      <c r="BG18" s="9">
        <v>392</v>
      </c>
      <c r="BH18" s="9">
        <v>95</v>
      </c>
      <c r="BI18" s="9">
        <v>42</v>
      </c>
      <c r="BJ18" s="9"/>
      <c r="BK18" s="9"/>
      <c r="BL18" s="46">
        <f t="shared" si="2"/>
        <v>34044.32</v>
      </c>
      <c r="BM18" s="46">
        <f t="shared" si="3"/>
        <v>45524.57</v>
      </c>
    </row>
    <row r="19" spans="1:65" x14ac:dyDescent="0.25">
      <c r="A19" s="2" t="s">
        <v>275</v>
      </c>
      <c r="B19" s="9"/>
      <c r="C19" s="9"/>
      <c r="D19" s="9"/>
      <c r="E19" s="9"/>
      <c r="F19" s="9"/>
      <c r="G19" s="9"/>
      <c r="H19" s="9">
        <v>-1183</v>
      </c>
      <c r="I19" s="9">
        <v>-1865</v>
      </c>
      <c r="J19" s="9"/>
      <c r="K19" s="9"/>
      <c r="L19" s="9">
        <v>754</v>
      </c>
      <c r="M19" s="9">
        <v>3295</v>
      </c>
      <c r="N19" s="9">
        <v>504</v>
      </c>
      <c r="O19" s="9">
        <v>1283</v>
      </c>
      <c r="P19" s="9"/>
      <c r="Q19" s="9"/>
      <c r="R19" s="9">
        <v>0.51</v>
      </c>
      <c r="S19" s="9">
        <v>92.94</v>
      </c>
      <c r="T19" s="9">
        <v>91.46</v>
      </c>
      <c r="U19" s="9">
        <v>4216.97</v>
      </c>
      <c r="V19" s="9">
        <v>-367</v>
      </c>
      <c r="W19" s="9">
        <v>-8742</v>
      </c>
      <c r="X19" s="9">
        <v>9070</v>
      </c>
      <c r="Y19" s="9">
        <v>15732</v>
      </c>
      <c r="Z19" s="9">
        <v>2026</v>
      </c>
      <c r="AA19" s="9">
        <v>5492</v>
      </c>
      <c r="AB19" s="9">
        <v>592</v>
      </c>
      <c r="AC19" s="9">
        <v>932</v>
      </c>
      <c r="AD19" s="9">
        <v>32</v>
      </c>
      <c r="AE19" s="9">
        <v>110</v>
      </c>
      <c r="AF19" s="9">
        <v>-320</v>
      </c>
      <c r="AG19" s="9">
        <v>-1353</v>
      </c>
      <c r="AH19" s="9"/>
      <c r="AI19" s="9"/>
      <c r="AJ19" s="9">
        <v>391.7</v>
      </c>
      <c r="AK19" s="9">
        <v>4536.3500000000004</v>
      </c>
      <c r="AL19" s="9"/>
      <c r="AM19" s="9"/>
      <c r="AN19" s="9"/>
      <c r="AO19" s="9"/>
      <c r="AP19" s="9">
        <v>0</v>
      </c>
      <c r="AQ19" s="9">
        <v>0</v>
      </c>
      <c r="AR19" s="9">
        <v>1610</v>
      </c>
      <c r="AS19" s="9">
        <v>5376</v>
      </c>
      <c r="AT19" s="9">
        <v>554</v>
      </c>
      <c r="AU19" s="9">
        <v>1179</v>
      </c>
      <c r="AV19" s="9">
        <v>95</v>
      </c>
      <c r="AW19" s="9">
        <v>330</v>
      </c>
      <c r="AX19" s="9">
        <v>23</v>
      </c>
      <c r="AY19" s="9">
        <v>38</v>
      </c>
      <c r="AZ19" s="9"/>
      <c r="BA19" s="9"/>
      <c r="BB19" s="9">
        <v>33941</v>
      </c>
      <c r="BC19" s="9">
        <v>40360</v>
      </c>
      <c r="BD19" s="9">
        <v>6538</v>
      </c>
      <c r="BE19" s="9">
        <v>14358</v>
      </c>
      <c r="BF19" s="9">
        <v>1341</v>
      </c>
      <c r="BG19" s="9">
        <v>5872</v>
      </c>
      <c r="BH19" s="9">
        <v>679</v>
      </c>
      <c r="BI19" s="9">
        <v>18324</v>
      </c>
      <c r="BJ19" s="9">
        <v>225</v>
      </c>
      <c r="BK19" s="9">
        <v>871</v>
      </c>
      <c r="BL19" s="46">
        <f t="shared" si="2"/>
        <v>56597.67</v>
      </c>
      <c r="BM19" s="46">
        <f t="shared" si="3"/>
        <v>110438.26000000001</v>
      </c>
    </row>
    <row r="20" spans="1:65" s="7" customFormat="1" x14ac:dyDescent="0.25">
      <c r="A20" s="3" t="s">
        <v>276</v>
      </c>
      <c r="B20" s="10"/>
      <c r="C20" s="10"/>
      <c r="D20" s="10"/>
      <c r="E20" s="10"/>
      <c r="F20" s="10"/>
      <c r="G20" s="10"/>
      <c r="H20" s="10">
        <v>3077</v>
      </c>
      <c r="I20" s="10">
        <v>6987</v>
      </c>
      <c r="J20" s="10"/>
      <c r="K20" s="10"/>
      <c r="L20" s="10">
        <v>640</v>
      </c>
      <c r="M20" s="10">
        <v>1684</v>
      </c>
      <c r="N20" s="10">
        <v>70</v>
      </c>
      <c r="O20" s="10">
        <v>144</v>
      </c>
      <c r="P20" s="10"/>
      <c r="Q20" s="10"/>
      <c r="R20" s="10">
        <v>0.06</v>
      </c>
      <c r="S20" s="10">
        <v>9.5</v>
      </c>
      <c r="T20" s="10">
        <v>1114.45</v>
      </c>
      <c r="U20" s="10">
        <v>3877.92</v>
      </c>
      <c r="V20" s="10">
        <v>3400</v>
      </c>
      <c r="W20" s="10">
        <v>8876</v>
      </c>
      <c r="X20" s="10">
        <v>8598</v>
      </c>
      <c r="Y20" s="10">
        <v>21838</v>
      </c>
      <c r="Z20" s="10">
        <v>2672</v>
      </c>
      <c r="AA20" s="10">
        <v>6489</v>
      </c>
      <c r="AB20" s="10">
        <v>140</v>
      </c>
      <c r="AC20" s="10">
        <v>221</v>
      </c>
      <c r="AD20" s="10">
        <v>593</v>
      </c>
      <c r="AE20" s="10">
        <v>2171</v>
      </c>
      <c r="AF20" s="10">
        <v>41</v>
      </c>
      <c r="AG20" s="10">
        <v>238</v>
      </c>
      <c r="AH20" s="10"/>
      <c r="AI20" s="10"/>
      <c r="AJ20" s="10">
        <v>1484.62</v>
      </c>
      <c r="AK20" s="10">
        <v>5174.34</v>
      </c>
      <c r="AL20" s="10"/>
      <c r="AM20" s="10"/>
      <c r="AN20" s="10"/>
      <c r="AO20" s="10"/>
      <c r="AP20" s="10">
        <v>0</v>
      </c>
      <c r="AQ20" s="10">
        <v>0</v>
      </c>
      <c r="AR20" s="10">
        <v>472</v>
      </c>
      <c r="AS20" s="10">
        <v>1487</v>
      </c>
      <c r="AT20" s="10">
        <v>505</v>
      </c>
      <c r="AU20" s="10">
        <v>1230</v>
      </c>
      <c r="AV20" s="10">
        <v>1486</v>
      </c>
      <c r="AW20" s="10">
        <v>4190</v>
      </c>
      <c r="AX20" s="10">
        <v>6</v>
      </c>
      <c r="AY20" s="10">
        <v>14</v>
      </c>
      <c r="AZ20" s="10"/>
      <c r="BA20" s="10"/>
      <c r="BB20" s="10">
        <v>8467</v>
      </c>
      <c r="BC20" s="10">
        <v>24476</v>
      </c>
      <c r="BD20" s="10">
        <v>1960</v>
      </c>
      <c r="BE20" s="10">
        <v>31494</v>
      </c>
      <c r="BF20" s="10">
        <v>3521</v>
      </c>
      <c r="BG20" s="10">
        <v>12500</v>
      </c>
      <c r="BH20" s="10">
        <v>2555</v>
      </c>
      <c r="BI20" s="10">
        <v>9184</v>
      </c>
      <c r="BJ20" s="10">
        <v>38</v>
      </c>
      <c r="BK20" s="10">
        <v>196</v>
      </c>
      <c r="BL20" s="42">
        <f t="shared" si="2"/>
        <v>40840.130000000005</v>
      </c>
      <c r="BM20" s="42">
        <f>SUM(C20+E20+G20+I20+K20+M20+O20+Q30+S20+U20+W20+Y20+AA20+AC20+AE20+AG20+AI20+AK20+AM20+AO20+AQ30+AS20+AU20+AW20+AY20+BA20+BC20+BE20+BG20+BI20+BK20)</f>
        <v>143160.76</v>
      </c>
    </row>
    <row r="21" spans="1:65" x14ac:dyDescent="0.25">
      <c r="A21" s="2" t="s">
        <v>277</v>
      </c>
      <c r="B21" s="9"/>
      <c r="C21" s="9"/>
      <c r="D21" s="9"/>
      <c r="E21" s="9"/>
      <c r="F21" s="9"/>
      <c r="G21" s="9"/>
      <c r="H21" s="9">
        <v>10388</v>
      </c>
      <c r="I21" s="9">
        <v>10388</v>
      </c>
      <c r="J21" s="9"/>
      <c r="K21" s="9"/>
      <c r="L21" s="9">
        <v>1853</v>
      </c>
      <c r="M21" s="9">
        <v>1853</v>
      </c>
      <c r="N21" s="9">
        <v>123</v>
      </c>
      <c r="O21" s="9">
        <v>123</v>
      </c>
      <c r="P21" s="9"/>
      <c r="Q21" s="9"/>
      <c r="R21" s="9">
        <v>66.150000000000006</v>
      </c>
      <c r="S21" s="9">
        <v>66.150000000000006</v>
      </c>
      <c r="T21" s="9">
        <v>5505.81</v>
      </c>
      <c r="U21" s="9">
        <v>5505.81</v>
      </c>
      <c r="V21" s="9">
        <v>13979</v>
      </c>
      <c r="W21" s="9">
        <v>13979</v>
      </c>
      <c r="X21" s="9">
        <v>28394</v>
      </c>
      <c r="Y21" s="9">
        <v>28394</v>
      </c>
      <c r="Z21" s="9">
        <v>729</v>
      </c>
      <c r="AA21" s="9">
        <v>10040</v>
      </c>
      <c r="AB21" s="9">
        <v>53</v>
      </c>
      <c r="AC21" s="9">
        <v>53</v>
      </c>
      <c r="AD21" s="9">
        <v>1409</v>
      </c>
      <c r="AE21" s="9">
        <v>1409</v>
      </c>
      <c r="AF21" s="9">
        <v>519</v>
      </c>
      <c r="AG21" s="9">
        <v>519</v>
      </c>
      <c r="AH21" s="9"/>
      <c r="AI21" s="9"/>
      <c r="AJ21" s="9">
        <v>1570.22</v>
      </c>
      <c r="AK21" s="9">
        <v>22407.55</v>
      </c>
      <c r="AL21" s="9"/>
      <c r="AM21" s="9"/>
      <c r="AN21" s="9"/>
      <c r="AO21" s="9"/>
      <c r="AP21" s="9">
        <v>3</v>
      </c>
      <c r="AQ21" s="9">
        <v>3</v>
      </c>
      <c r="AR21" s="9">
        <v>3116</v>
      </c>
      <c r="AS21" s="9">
        <v>3116</v>
      </c>
      <c r="AT21" s="9">
        <v>1605</v>
      </c>
      <c r="AU21" s="9">
        <v>1605</v>
      </c>
      <c r="AV21" s="9">
        <v>6890</v>
      </c>
      <c r="AW21" s="9">
        <v>6890</v>
      </c>
      <c r="AX21" s="9">
        <v>51</v>
      </c>
      <c r="AY21" s="9">
        <v>51</v>
      </c>
      <c r="AZ21" s="9"/>
      <c r="BA21" s="9"/>
      <c r="BB21" s="9">
        <v>35158</v>
      </c>
      <c r="BC21" s="9">
        <v>35158</v>
      </c>
      <c r="BD21" s="9">
        <v>46894</v>
      </c>
      <c r="BE21" s="9">
        <v>46894</v>
      </c>
      <c r="BF21" s="9">
        <v>-315</v>
      </c>
      <c r="BG21" s="9">
        <v>28877</v>
      </c>
      <c r="BH21" s="9"/>
      <c r="BI21" s="9"/>
      <c r="BJ21" s="9">
        <v>418</v>
      </c>
      <c r="BK21" s="9">
        <v>418</v>
      </c>
      <c r="BL21" s="46">
        <f t="shared" si="2"/>
        <v>158409.18</v>
      </c>
      <c r="BM21" s="46">
        <f>SUM(C21+E21+G21+I21+K21+M21+O21+Q31+S21+U21+W21+Y21+AA21+AC21+AE21+AG21+AI21+AK21+AM21+AO21+AQ31+AS21+AU21+AW21+AY21+BA21+BC21+BE21+BG21+BI21+BK21)</f>
        <v>231455.51</v>
      </c>
    </row>
    <row r="22" spans="1:65" ht="15" customHeight="1" x14ac:dyDescent="0.25">
      <c r="A22" s="2" t="s">
        <v>278</v>
      </c>
      <c r="B22" s="9"/>
      <c r="C22" s="9"/>
      <c r="D22" s="9"/>
      <c r="E22" s="9"/>
      <c r="F22" s="9"/>
      <c r="G22" s="9"/>
      <c r="H22" s="9">
        <v>11330</v>
      </c>
      <c r="I22" s="9">
        <v>8689</v>
      </c>
      <c r="J22" s="9"/>
      <c r="K22" s="9"/>
      <c r="L22" s="9">
        <v>1740</v>
      </c>
      <c r="M22" s="9">
        <v>1112</v>
      </c>
      <c r="N22" s="9">
        <v>161</v>
      </c>
      <c r="O22" s="9">
        <v>29</v>
      </c>
      <c r="P22" s="9"/>
      <c r="Q22" s="9"/>
      <c r="R22" s="9">
        <v>65.91</v>
      </c>
      <c r="S22" s="9">
        <v>64.510000000000005</v>
      </c>
      <c r="T22" s="9">
        <v>4935.41</v>
      </c>
      <c r="U22" s="9">
        <v>3867.43</v>
      </c>
      <c r="V22" s="9">
        <v>-12530</v>
      </c>
      <c r="W22" s="9">
        <v>-7948</v>
      </c>
      <c r="X22" s="9">
        <v>27587</v>
      </c>
      <c r="Y22" s="9">
        <v>26154</v>
      </c>
      <c r="Z22" s="9"/>
      <c r="AA22" s="9">
        <v>8187</v>
      </c>
      <c r="AB22" s="9">
        <v>151</v>
      </c>
      <c r="AC22" s="9">
        <v>14</v>
      </c>
      <c r="AD22" s="9">
        <v>1454</v>
      </c>
      <c r="AE22" s="9">
        <v>1111</v>
      </c>
      <c r="AF22" s="9">
        <v>-355</v>
      </c>
      <c r="AG22" s="9">
        <v>-429</v>
      </c>
      <c r="AH22" s="9"/>
      <c r="AI22" s="9"/>
      <c r="AJ22" s="9"/>
      <c r="AK22" s="9">
        <v>25206.14</v>
      </c>
      <c r="AL22" s="9"/>
      <c r="AM22" s="9"/>
      <c r="AN22" s="9"/>
      <c r="AO22" s="9"/>
      <c r="AP22" s="9">
        <v>2</v>
      </c>
      <c r="AQ22" s="9">
        <v>4</v>
      </c>
      <c r="AR22" s="9">
        <v>3214</v>
      </c>
      <c r="AS22" s="9">
        <v>3162</v>
      </c>
      <c r="AT22" s="9">
        <v>1849</v>
      </c>
      <c r="AU22" s="9">
        <v>1629</v>
      </c>
      <c r="AV22" s="9">
        <v>7403</v>
      </c>
      <c r="AW22" s="9">
        <v>4647</v>
      </c>
      <c r="AX22" s="9">
        <v>57</v>
      </c>
      <c r="AY22" s="9">
        <v>60</v>
      </c>
      <c r="AZ22" s="9"/>
      <c r="BA22" s="9"/>
      <c r="BB22" s="9">
        <v>32972</v>
      </c>
      <c r="BC22" s="9">
        <v>29165</v>
      </c>
      <c r="BD22" s="9">
        <v>42058</v>
      </c>
      <c r="BE22" s="9">
        <v>52745</v>
      </c>
      <c r="BF22" s="9">
        <v>0</v>
      </c>
      <c r="BG22" s="9">
        <v>26389</v>
      </c>
      <c r="BH22" s="9"/>
      <c r="BI22" s="9"/>
      <c r="BJ22" s="9">
        <v>379</v>
      </c>
      <c r="BK22" s="9">
        <v>387</v>
      </c>
      <c r="BL22" s="46">
        <f t="shared" si="2"/>
        <v>122473.32</v>
      </c>
      <c r="BM22" s="46">
        <f>SUM(C22+E22+G22+I22+K22+M22+O22+Q32+S22+U22+W22+Y22+AA22+AC22+AE22+AG22+AI22+AK22+AM22+AO22+AQ32+AS22+AU22+AW22+AY22+BA22+BC22+BE22+BG22+BI22+BK22)</f>
        <v>220649.08000000002</v>
      </c>
    </row>
    <row r="23" spans="1:65" s="7" customFormat="1" x14ac:dyDescent="0.25">
      <c r="A23" s="3" t="s">
        <v>279</v>
      </c>
      <c r="B23" s="10"/>
      <c r="C23" s="10"/>
      <c r="D23" s="10"/>
      <c r="E23" s="10"/>
      <c r="F23" s="10"/>
      <c r="G23" s="10"/>
      <c r="H23" s="10">
        <v>2136</v>
      </c>
      <c r="I23" s="10">
        <v>8686</v>
      </c>
      <c r="J23" s="10"/>
      <c r="K23" s="10"/>
      <c r="L23" s="10">
        <v>753</v>
      </c>
      <c r="M23" s="10">
        <v>2425</v>
      </c>
      <c r="N23" s="10">
        <v>32</v>
      </c>
      <c r="O23" s="10">
        <v>238</v>
      </c>
      <c r="P23" s="10"/>
      <c r="Q23" s="10"/>
      <c r="R23" s="10">
        <v>0.3</v>
      </c>
      <c r="S23" s="10">
        <v>11.14</v>
      </c>
      <c r="T23" s="10">
        <v>1684.84</v>
      </c>
      <c r="U23" s="10">
        <v>5516.3</v>
      </c>
      <c r="V23" s="10">
        <v>4849</v>
      </c>
      <c r="W23" s="10">
        <v>14907</v>
      </c>
      <c r="X23" s="10">
        <v>9405</v>
      </c>
      <c r="Y23" s="10">
        <v>24078</v>
      </c>
      <c r="Z23" s="10">
        <v>3401</v>
      </c>
      <c r="AA23" s="10">
        <v>8342</v>
      </c>
      <c r="AB23" s="10">
        <v>42</v>
      </c>
      <c r="AC23" s="10">
        <v>260</v>
      </c>
      <c r="AD23" s="10">
        <v>548</v>
      </c>
      <c r="AE23" s="10">
        <v>2469</v>
      </c>
      <c r="AF23" s="10">
        <v>205</v>
      </c>
      <c r="AG23" s="10">
        <v>328</v>
      </c>
      <c r="AH23" s="10"/>
      <c r="AI23" s="10"/>
      <c r="AJ23" s="10">
        <v>3054.83</v>
      </c>
      <c r="AK23" s="10">
        <v>2375.75</v>
      </c>
      <c r="AL23" s="10"/>
      <c r="AM23" s="10"/>
      <c r="AN23" s="10"/>
      <c r="AO23" s="10"/>
      <c r="AP23" s="10">
        <v>0</v>
      </c>
      <c r="AQ23" s="10">
        <v>-1</v>
      </c>
      <c r="AR23" s="10">
        <v>374</v>
      </c>
      <c r="AS23" s="10">
        <v>1441</v>
      </c>
      <c r="AT23" s="10">
        <v>261</v>
      </c>
      <c r="AU23" s="10">
        <v>1207</v>
      </c>
      <c r="AV23" s="10">
        <v>972</v>
      </c>
      <c r="AW23" s="10">
        <v>6433</v>
      </c>
      <c r="AX23" s="10">
        <v>-1</v>
      </c>
      <c r="AY23" s="10">
        <v>5</v>
      </c>
      <c r="AZ23" s="10"/>
      <c r="BA23" s="10"/>
      <c r="BB23" s="10">
        <v>10653</v>
      </c>
      <c r="BC23" s="10">
        <v>30469</v>
      </c>
      <c r="BD23" s="10">
        <v>6796</v>
      </c>
      <c r="BE23" s="10">
        <v>25643</v>
      </c>
      <c r="BF23" s="10">
        <v>3206</v>
      </c>
      <c r="BG23" s="10">
        <v>14988</v>
      </c>
      <c r="BH23" s="10">
        <v>6075</v>
      </c>
      <c r="BI23" s="10">
        <v>15096</v>
      </c>
      <c r="BJ23" s="10">
        <v>76</v>
      </c>
      <c r="BK23" s="10">
        <v>227</v>
      </c>
      <c r="BL23" s="42">
        <f t="shared" si="2"/>
        <v>54522.97</v>
      </c>
      <c r="BM23" s="42">
        <f>SUM(C23+E23+G23+I23+K23+M23+O23+Q33+S23+U23+W23+Y23+AA23+AC23+AE23+AG23+AI23+AK23+AM23+AO23+AQ33+AS23+AU23+AW23+AY23+BA23+BC23+BE23+BG23+BI23+BK23)</f>
        <v>196726.19</v>
      </c>
    </row>
    <row r="24" spans="1:65" x14ac:dyDescent="0.25">
      <c r="A24" s="5"/>
    </row>
    <row r="25" spans="1:65" x14ac:dyDescent="0.25">
      <c r="A25" s="18" t="s">
        <v>184</v>
      </c>
    </row>
    <row r="26" spans="1:65" x14ac:dyDescent="0.25">
      <c r="A26" s="3" t="s">
        <v>0</v>
      </c>
      <c r="B26" s="127" t="s">
        <v>1</v>
      </c>
      <c r="C26" s="128"/>
      <c r="D26" s="127" t="s">
        <v>232</v>
      </c>
      <c r="E26" s="128"/>
      <c r="F26" s="127" t="s">
        <v>2</v>
      </c>
      <c r="G26" s="128"/>
      <c r="H26" s="127" t="s">
        <v>3</v>
      </c>
      <c r="I26" s="128"/>
      <c r="J26" s="127" t="s">
        <v>241</v>
      </c>
      <c r="K26" s="128"/>
      <c r="L26" s="127" t="s">
        <v>233</v>
      </c>
      <c r="M26" s="128"/>
      <c r="N26" s="127" t="s">
        <v>244</v>
      </c>
      <c r="O26" s="128"/>
      <c r="P26" s="127" t="s">
        <v>5</v>
      </c>
      <c r="Q26" s="128"/>
      <c r="R26" s="127" t="s">
        <v>4</v>
      </c>
      <c r="S26" s="128"/>
      <c r="T26" s="127" t="s">
        <v>6</v>
      </c>
      <c r="U26" s="128"/>
      <c r="V26" s="127" t="s">
        <v>7</v>
      </c>
      <c r="W26" s="128"/>
      <c r="X26" s="127" t="s">
        <v>8</v>
      </c>
      <c r="Y26" s="128"/>
      <c r="Z26" s="127" t="s">
        <v>9</v>
      </c>
      <c r="AA26" s="128"/>
      <c r="AB26" s="127" t="s">
        <v>240</v>
      </c>
      <c r="AC26" s="128"/>
      <c r="AD26" s="127" t="s">
        <v>10</v>
      </c>
      <c r="AE26" s="128"/>
      <c r="AF26" s="127" t="s">
        <v>11</v>
      </c>
      <c r="AG26" s="128"/>
      <c r="AH26" s="127" t="s">
        <v>234</v>
      </c>
      <c r="AI26" s="128"/>
      <c r="AJ26" s="127" t="s">
        <v>12</v>
      </c>
      <c r="AK26" s="128"/>
      <c r="AL26" s="127" t="s">
        <v>235</v>
      </c>
      <c r="AM26" s="128"/>
      <c r="AN26" s="127" t="s">
        <v>293</v>
      </c>
      <c r="AO26" s="128"/>
      <c r="AP26" s="127" t="s">
        <v>236</v>
      </c>
      <c r="AQ26" s="128"/>
      <c r="AR26" s="127" t="s">
        <v>239</v>
      </c>
      <c r="AS26" s="128"/>
      <c r="AT26" s="127" t="s">
        <v>13</v>
      </c>
      <c r="AU26" s="128"/>
      <c r="AV26" s="127" t="s">
        <v>14</v>
      </c>
      <c r="AW26" s="128"/>
      <c r="AX26" s="127" t="s">
        <v>15</v>
      </c>
      <c r="AY26" s="128"/>
      <c r="AZ26" s="127" t="s">
        <v>16</v>
      </c>
      <c r="BA26" s="128"/>
      <c r="BB26" s="127" t="s">
        <v>17</v>
      </c>
      <c r="BC26" s="128"/>
      <c r="BD26" s="127" t="s">
        <v>237</v>
      </c>
      <c r="BE26" s="128"/>
      <c r="BF26" s="127" t="s">
        <v>238</v>
      </c>
      <c r="BG26" s="128"/>
      <c r="BH26" s="127" t="s">
        <v>18</v>
      </c>
      <c r="BI26" s="128"/>
      <c r="BJ26" s="127" t="s">
        <v>19</v>
      </c>
      <c r="BK26" s="128"/>
      <c r="BL26" s="129" t="s">
        <v>20</v>
      </c>
      <c r="BM26" s="130"/>
    </row>
    <row r="27" spans="1:65" ht="30" x14ac:dyDescent="0.25">
      <c r="A27" s="3"/>
      <c r="B27" s="32" t="s">
        <v>299</v>
      </c>
      <c r="C27" s="33" t="s">
        <v>298</v>
      </c>
      <c r="D27" s="32" t="s">
        <v>299</v>
      </c>
      <c r="E27" s="33" t="s">
        <v>298</v>
      </c>
      <c r="F27" s="32" t="s">
        <v>299</v>
      </c>
      <c r="G27" s="33" t="s">
        <v>298</v>
      </c>
      <c r="H27" s="32" t="s">
        <v>299</v>
      </c>
      <c r="I27" s="33" t="s">
        <v>298</v>
      </c>
      <c r="J27" s="32" t="s">
        <v>299</v>
      </c>
      <c r="K27" s="33" t="s">
        <v>298</v>
      </c>
      <c r="L27" s="32" t="s">
        <v>299</v>
      </c>
      <c r="M27" s="33" t="s">
        <v>298</v>
      </c>
      <c r="N27" s="32" t="s">
        <v>299</v>
      </c>
      <c r="O27" s="33" t="s">
        <v>298</v>
      </c>
      <c r="P27" s="32" t="s">
        <v>299</v>
      </c>
      <c r="Q27" s="33" t="s">
        <v>298</v>
      </c>
      <c r="R27" s="32" t="s">
        <v>299</v>
      </c>
      <c r="S27" s="33" t="s">
        <v>298</v>
      </c>
      <c r="T27" s="32" t="s">
        <v>299</v>
      </c>
      <c r="U27" s="33" t="s">
        <v>298</v>
      </c>
      <c r="V27" s="32" t="s">
        <v>299</v>
      </c>
      <c r="W27" s="33" t="s">
        <v>298</v>
      </c>
      <c r="X27" s="32" t="s">
        <v>299</v>
      </c>
      <c r="Y27" s="33" t="s">
        <v>298</v>
      </c>
      <c r="Z27" s="32" t="s">
        <v>299</v>
      </c>
      <c r="AA27" s="33" t="s">
        <v>298</v>
      </c>
      <c r="AB27" s="32" t="s">
        <v>299</v>
      </c>
      <c r="AC27" s="33" t="s">
        <v>298</v>
      </c>
      <c r="AD27" s="32" t="s">
        <v>299</v>
      </c>
      <c r="AE27" s="33" t="s">
        <v>298</v>
      </c>
      <c r="AF27" s="32" t="s">
        <v>299</v>
      </c>
      <c r="AG27" s="33" t="s">
        <v>298</v>
      </c>
      <c r="AH27" s="32" t="s">
        <v>299</v>
      </c>
      <c r="AI27" s="33" t="s">
        <v>298</v>
      </c>
      <c r="AJ27" s="32" t="s">
        <v>299</v>
      </c>
      <c r="AK27" s="33" t="s">
        <v>298</v>
      </c>
      <c r="AL27" s="32" t="s">
        <v>299</v>
      </c>
      <c r="AM27" s="33" t="s">
        <v>298</v>
      </c>
      <c r="AN27" s="32" t="s">
        <v>299</v>
      </c>
      <c r="AO27" s="33" t="s">
        <v>298</v>
      </c>
      <c r="AP27" s="32" t="s">
        <v>299</v>
      </c>
      <c r="AQ27" s="33" t="s">
        <v>298</v>
      </c>
      <c r="AR27" s="32" t="s">
        <v>299</v>
      </c>
      <c r="AS27" s="33" t="s">
        <v>298</v>
      </c>
      <c r="AT27" s="32" t="s">
        <v>299</v>
      </c>
      <c r="AU27" s="33" t="s">
        <v>298</v>
      </c>
      <c r="AV27" s="32" t="s">
        <v>299</v>
      </c>
      <c r="AW27" s="33" t="s">
        <v>298</v>
      </c>
      <c r="AX27" s="32" t="s">
        <v>299</v>
      </c>
      <c r="AY27" s="33" t="s">
        <v>298</v>
      </c>
      <c r="AZ27" s="32" t="s">
        <v>299</v>
      </c>
      <c r="BA27" s="33" t="s">
        <v>298</v>
      </c>
      <c r="BB27" s="32" t="s">
        <v>299</v>
      </c>
      <c r="BC27" s="33" t="s">
        <v>298</v>
      </c>
      <c r="BD27" s="32" t="s">
        <v>299</v>
      </c>
      <c r="BE27" s="33" t="s">
        <v>298</v>
      </c>
      <c r="BF27" s="32" t="s">
        <v>299</v>
      </c>
      <c r="BG27" s="33" t="s">
        <v>298</v>
      </c>
      <c r="BH27" s="32" t="s">
        <v>299</v>
      </c>
      <c r="BI27" s="33" t="s">
        <v>298</v>
      </c>
      <c r="BJ27" s="32" t="s">
        <v>299</v>
      </c>
      <c r="BK27" s="33" t="s">
        <v>298</v>
      </c>
      <c r="BL27" s="32" t="s">
        <v>299</v>
      </c>
      <c r="BM27" s="33" t="s">
        <v>298</v>
      </c>
    </row>
    <row r="28" spans="1:65" x14ac:dyDescent="0.25">
      <c r="A28" s="2" t="s">
        <v>273</v>
      </c>
      <c r="B28" s="9">
        <v>8921</v>
      </c>
      <c r="C28" s="9">
        <v>22461</v>
      </c>
      <c r="D28" s="9"/>
      <c r="E28" s="9"/>
      <c r="F28" s="9"/>
      <c r="G28" s="9"/>
      <c r="H28" s="9">
        <v>64838</v>
      </c>
      <c r="I28" s="9">
        <v>182467</v>
      </c>
      <c r="J28" s="9"/>
      <c r="K28" s="9"/>
      <c r="L28" s="9">
        <v>46021</v>
      </c>
      <c r="M28" s="9">
        <v>130967</v>
      </c>
      <c r="N28" s="9">
        <v>27119</v>
      </c>
      <c r="O28" s="9">
        <v>26363</v>
      </c>
      <c r="P28" s="9"/>
      <c r="Q28" s="9"/>
      <c r="R28" s="9">
        <v>2979.62</v>
      </c>
      <c r="S28" s="9">
        <v>8025.81</v>
      </c>
      <c r="T28" s="9">
        <v>26729.88</v>
      </c>
      <c r="U28" s="9">
        <v>69626.14</v>
      </c>
      <c r="V28" s="9">
        <v>57983</v>
      </c>
      <c r="W28" s="9">
        <v>150438</v>
      </c>
      <c r="X28" s="9">
        <v>107210</v>
      </c>
      <c r="Y28" s="9">
        <v>343072</v>
      </c>
      <c r="Z28" s="9">
        <v>67871</v>
      </c>
      <c r="AA28" s="9">
        <v>179223</v>
      </c>
      <c r="AB28" s="9">
        <v>6719</v>
      </c>
      <c r="AC28" s="9">
        <v>18849</v>
      </c>
      <c r="AD28" s="9">
        <v>14930</v>
      </c>
      <c r="AE28" s="9">
        <v>39623</v>
      </c>
      <c r="AF28" s="9">
        <v>18908</v>
      </c>
      <c r="AG28" s="9">
        <v>18908</v>
      </c>
      <c r="AH28" s="9"/>
      <c r="AI28" s="9"/>
      <c r="AJ28" s="9">
        <v>115596.37</v>
      </c>
      <c r="AK28" s="9">
        <v>357520.89</v>
      </c>
      <c r="AL28" s="9">
        <v>343</v>
      </c>
      <c r="AM28" s="9">
        <v>1320</v>
      </c>
      <c r="AN28" s="9"/>
      <c r="AO28" s="9"/>
      <c r="AP28" s="9">
        <v>4814</v>
      </c>
      <c r="AQ28" s="9">
        <v>14388</v>
      </c>
      <c r="AR28" s="9">
        <v>50662</v>
      </c>
      <c r="AS28" s="9">
        <v>165096</v>
      </c>
      <c r="AT28" s="9">
        <v>39291</v>
      </c>
      <c r="AU28" s="9">
        <v>107887</v>
      </c>
      <c r="AV28" s="9">
        <v>39903</v>
      </c>
      <c r="AW28" s="9">
        <v>147198</v>
      </c>
      <c r="AX28" s="9">
        <v>37203</v>
      </c>
      <c r="AY28" s="9">
        <v>89612</v>
      </c>
      <c r="AZ28" s="9"/>
      <c r="BA28" s="9"/>
      <c r="BB28" s="9">
        <v>57121</v>
      </c>
      <c r="BC28" s="9">
        <v>175111</v>
      </c>
      <c r="BD28" s="9">
        <v>215097</v>
      </c>
      <c r="BE28" s="9">
        <v>613502</v>
      </c>
      <c r="BF28" s="9">
        <v>77655</v>
      </c>
      <c r="BG28" s="9">
        <v>208904</v>
      </c>
      <c r="BH28" s="9">
        <v>112188</v>
      </c>
      <c r="BI28" s="9">
        <v>343124</v>
      </c>
      <c r="BJ28" s="9">
        <v>36225</v>
      </c>
      <c r="BK28" s="9">
        <v>91837</v>
      </c>
      <c r="BL28" s="46">
        <f t="shared" ref="BL28:BM34" si="4">SUM(B28+D28+F28+H28+J28+L28+N28+P28+R28+T28+V28+X28+Z28+AB28+AD28+AF28+AH28+AJ28+AL28+AN28+AP28+AR28+AT28+AV28+AX28+AZ28+BB28+BD28+BF28+BH28+BJ28)</f>
        <v>1236327.8700000001</v>
      </c>
      <c r="BM28" s="46">
        <f t="shared" si="4"/>
        <v>3505522.84</v>
      </c>
    </row>
    <row r="29" spans="1:65" x14ac:dyDescent="0.25">
      <c r="A29" s="2" t="s">
        <v>274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1295</v>
      </c>
      <c r="O29" s="9">
        <v>43978</v>
      </c>
      <c r="P29" s="9"/>
      <c r="Q29" s="9"/>
      <c r="R29" s="9"/>
      <c r="S29" s="9"/>
      <c r="T29" s="9"/>
      <c r="U29" s="9"/>
      <c r="V29" s="9"/>
      <c r="W29" s="9"/>
      <c r="X29" s="9">
        <v>7594</v>
      </c>
      <c r="Y29" s="9">
        <v>7594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>
        <v>0.45</v>
      </c>
      <c r="AK29" s="9">
        <v>62.16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>
        <v>8551</v>
      </c>
      <c r="BC29" s="9">
        <v>9305</v>
      </c>
      <c r="BD29" s="9">
        <v>175</v>
      </c>
      <c r="BE29" s="9">
        <v>520</v>
      </c>
      <c r="BF29" s="9">
        <v>2</v>
      </c>
      <c r="BG29" s="9">
        <v>85</v>
      </c>
      <c r="BH29" s="9"/>
      <c r="BI29" s="9"/>
      <c r="BJ29" s="9"/>
      <c r="BK29" s="9"/>
      <c r="BL29" s="46">
        <f t="shared" si="4"/>
        <v>17617.45</v>
      </c>
      <c r="BM29" s="46">
        <f t="shared" si="4"/>
        <v>61544.160000000003</v>
      </c>
    </row>
    <row r="30" spans="1:65" x14ac:dyDescent="0.25">
      <c r="A30" s="2" t="s">
        <v>275</v>
      </c>
      <c r="B30" s="9">
        <v>4650</v>
      </c>
      <c r="C30" s="9">
        <v>20678</v>
      </c>
      <c r="D30" s="9"/>
      <c r="E30" s="9"/>
      <c r="F30" s="9"/>
      <c r="G30" s="9"/>
      <c r="H30" s="9">
        <v>-9479</v>
      </c>
      <c r="I30" s="9">
        <v>-23818</v>
      </c>
      <c r="J30" s="9"/>
      <c r="K30" s="9"/>
      <c r="L30" s="9">
        <v>10307</v>
      </c>
      <c r="M30" s="9">
        <v>30255</v>
      </c>
      <c r="N30" s="9">
        <v>1656</v>
      </c>
      <c r="O30" s="9">
        <v>4344</v>
      </c>
      <c r="P30" s="9"/>
      <c r="Q30" s="9"/>
      <c r="R30" s="9">
        <v>979.05</v>
      </c>
      <c r="S30" s="9">
        <v>2293.1799999999998</v>
      </c>
      <c r="T30" s="9">
        <v>1209.68</v>
      </c>
      <c r="U30" s="9">
        <v>4094.38</v>
      </c>
      <c r="V30" s="9">
        <v>-3103</v>
      </c>
      <c r="W30" s="9">
        <v>-60875</v>
      </c>
      <c r="X30" s="9">
        <v>6004</v>
      </c>
      <c r="Y30" s="9">
        <v>24342</v>
      </c>
      <c r="Z30" s="9">
        <v>7607</v>
      </c>
      <c r="AA30" s="9">
        <v>21804</v>
      </c>
      <c r="AB30" s="9">
        <v>1953</v>
      </c>
      <c r="AC30" s="9">
        <v>4816</v>
      </c>
      <c r="AD30" s="9">
        <v>682</v>
      </c>
      <c r="AE30" s="9">
        <v>1882</v>
      </c>
      <c r="AF30" s="9">
        <v>-6419</v>
      </c>
      <c r="AG30" s="9">
        <v>-6419</v>
      </c>
      <c r="AH30" s="9"/>
      <c r="AI30" s="9"/>
      <c r="AJ30" s="9">
        <v>10490.1</v>
      </c>
      <c r="AK30" s="9">
        <v>33890.61</v>
      </c>
      <c r="AL30" s="9">
        <v>-21</v>
      </c>
      <c r="AM30" s="9">
        <v>-70</v>
      </c>
      <c r="AN30" s="9"/>
      <c r="AO30" s="9"/>
      <c r="AP30" s="9">
        <v>216</v>
      </c>
      <c r="AQ30" s="9">
        <v>680</v>
      </c>
      <c r="AR30" s="9">
        <v>17739</v>
      </c>
      <c r="AS30" s="9">
        <v>55494</v>
      </c>
      <c r="AT30" s="9">
        <v>5908</v>
      </c>
      <c r="AU30" s="9">
        <v>17440</v>
      </c>
      <c r="AV30" s="9">
        <v>16735</v>
      </c>
      <c r="AW30" s="9">
        <v>76311</v>
      </c>
      <c r="AX30" s="9">
        <v>2152</v>
      </c>
      <c r="AY30" s="9">
        <v>5548</v>
      </c>
      <c r="AZ30" s="9"/>
      <c r="BA30" s="9"/>
      <c r="BB30" s="9">
        <v>16570</v>
      </c>
      <c r="BC30" s="9">
        <v>42663</v>
      </c>
      <c r="BD30" s="9">
        <v>11142</v>
      </c>
      <c r="BE30" s="9">
        <v>30939</v>
      </c>
      <c r="BF30" s="9">
        <v>5153</v>
      </c>
      <c r="BG30" s="9">
        <v>12457</v>
      </c>
      <c r="BH30" s="9">
        <v>6178</v>
      </c>
      <c r="BI30" s="9">
        <v>18260</v>
      </c>
      <c r="BJ30" s="9">
        <v>2853</v>
      </c>
      <c r="BK30" s="9">
        <v>5872</v>
      </c>
      <c r="BL30" s="46">
        <f t="shared" si="4"/>
        <v>111161.83</v>
      </c>
      <c r="BM30" s="46">
        <f t="shared" si="4"/>
        <v>322881.17</v>
      </c>
    </row>
    <row r="31" spans="1:65" s="7" customFormat="1" x14ac:dyDescent="0.25">
      <c r="A31" s="3" t="s">
        <v>276</v>
      </c>
      <c r="B31" s="10">
        <v>4271</v>
      </c>
      <c r="C31" s="10">
        <v>1783</v>
      </c>
      <c r="D31" s="10"/>
      <c r="E31" s="10"/>
      <c r="F31" s="10"/>
      <c r="G31" s="10"/>
      <c r="H31" s="10">
        <v>55359</v>
      </c>
      <c r="I31" s="10">
        <v>158649</v>
      </c>
      <c r="J31" s="10"/>
      <c r="K31" s="10"/>
      <c r="L31" s="10">
        <v>35714</v>
      </c>
      <c r="M31" s="10">
        <v>100712</v>
      </c>
      <c r="N31" s="10">
        <v>26758</v>
      </c>
      <c r="O31" s="10">
        <v>65997</v>
      </c>
      <c r="P31" s="10"/>
      <c r="Q31" s="10"/>
      <c r="R31" s="10">
        <v>2000.57</v>
      </c>
      <c r="S31" s="10">
        <v>5732.63</v>
      </c>
      <c r="T31" s="10">
        <v>25520.19</v>
      </c>
      <c r="U31" s="10">
        <v>65531.77</v>
      </c>
      <c r="V31" s="10">
        <v>54880</v>
      </c>
      <c r="W31" s="10">
        <v>89563</v>
      </c>
      <c r="X31" s="10">
        <v>108800</v>
      </c>
      <c r="Y31" s="10">
        <v>326324</v>
      </c>
      <c r="Z31" s="10">
        <v>60264</v>
      </c>
      <c r="AA31" s="10">
        <v>157419</v>
      </c>
      <c r="AB31" s="10">
        <v>4767</v>
      </c>
      <c r="AC31" s="10">
        <v>14032</v>
      </c>
      <c r="AD31" s="10">
        <v>14248</v>
      </c>
      <c r="AE31" s="10">
        <v>37740</v>
      </c>
      <c r="AF31" s="10">
        <v>12489</v>
      </c>
      <c r="AG31" s="10">
        <v>12489</v>
      </c>
      <c r="AH31" s="10"/>
      <c r="AI31" s="10"/>
      <c r="AJ31" s="10">
        <v>105106.71</v>
      </c>
      <c r="AK31" s="10">
        <v>323692.44</v>
      </c>
      <c r="AL31" s="10">
        <v>322</v>
      </c>
      <c r="AM31" s="10">
        <v>1250</v>
      </c>
      <c r="AN31" s="10"/>
      <c r="AO31" s="10"/>
      <c r="AP31" s="10">
        <v>4597</v>
      </c>
      <c r="AQ31" s="10">
        <v>13709</v>
      </c>
      <c r="AR31" s="10">
        <v>32923</v>
      </c>
      <c r="AS31" s="10">
        <v>109602</v>
      </c>
      <c r="AT31" s="10">
        <v>33383</v>
      </c>
      <c r="AU31" s="10">
        <v>90447</v>
      </c>
      <c r="AV31" s="10">
        <v>23168</v>
      </c>
      <c r="AW31" s="10">
        <v>70887</v>
      </c>
      <c r="AX31" s="10">
        <v>35051</v>
      </c>
      <c r="AY31" s="10">
        <v>84064</v>
      </c>
      <c r="AZ31" s="10"/>
      <c r="BA31" s="10"/>
      <c r="BB31" s="10">
        <v>49102</v>
      </c>
      <c r="BC31" s="10">
        <v>141754</v>
      </c>
      <c r="BD31" s="10">
        <v>204129</v>
      </c>
      <c r="BE31" s="10">
        <v>583084</v>
      </c>
      <c r="BF31" s="10">
        <v>72504</v>
      </c>
      <c r="BG31" s="10">
        <v>196532</v>
      </c>
      <c r="BH31" s="10">
        <v>106010</v>
      </c>
      <c r="BI31" s="10">
        <v>324864</v>
      </c>
      <c r="BJ31" s="10">
        <v>33372</v>
      </c>
      <c r="BK31" s="10">
        <v>85965</v>
      </c>
      <c r="BL31" s="42">
        <f t="shared" si="4"/>
        <v>1104738.47</v>
      </c>
      <c r="BM31" s="42">
        <f t="shared" si="4"/>
        <v>3061822.84</v>
      </c>
    </row>
    <row r="32" spans="1:65" x14ac:dyDescent="0.25">
      <c r="A32" s="2" t="s">
        <v>277</v>
      </c>
      <c r="B32" s="9">
        <v>28830</v>
      </c>
      <c r="C32" s="9">
        <v>28830</v>
      </c>
      <c r="D32" s="9"/>
      <c r="E32" s="9"/>
      <c r="F32" s="9"/>
      <c r="G32" s="9"/>
      <c r="H32" s="9">
        <v>1068288</v>
      </c>
      <c r="I32" s="9">
        <v>1068288</v>
      </c>
      <c r="J32" s="9"/>
      <c r="K32" s="9"/>
      <c r="L32" s="9">
        <v>754195</v>
      </c>
      <c r="M32" s="9">
        <v>754195</v>
      </c>
      <c r="N32" s="9">
        <v>496778</v>
      </c>
      <c r="O32" s="9">
        <v>496778</v>
      </c>
      <c r="P32" s="9"/>
      <c r="Q32" s="9"/>
      <c r="R32" s="9">
        <v>14691.63</v>
      </c>
      <c r="S32" s="9">
        <v>14691.63</v>
      </c>
      <c r="T32" s="9">
        <v>234405.16</v>
      </c>
      <c r="U32" s="9">
        <v>234405.16</v>
      </c>
      <c r="V32" s="9">
        <v>587923</v>
      </c>
      <c r="W32" s="9">
        <v>587923</v>
      </c>
      <c r="X32" s="9">
        <v>1661699</v>
      </c>
      <c r="Y32" s="9">
        <v>1661699</v>
      </c>
      <c r="Z32" s="9">
        <v>14561</v>
      </c>
      <c r="AA32" s="9">
        <v>713803</v>
      </c>
      <c r="AB32" s="9">
        <v>51333</v>
      </c>
      <c r="AC32" s="9">
        <v>51333</v>
      </c>
      <c r="AD32" s="9">
        <v>141135</v>
      </c>
      <c r="AE32" s="9">
        <v>141135</v>
      </c>
      <c r="AF32" s="9">
        <v>225424</v>
      </c>
      <c r="AG32" s="9">
        <v>225424</v>
      </c>
      <c r="AH32" s="9"/>
      <c r="AI32" s="9"/>
      <c r="AJ32" s="9">
        <v>18227.62</v>
      </c>
      <c r="AK32" s="9">
        <v>1612712.63</v>
      </c>
      <c r="AL32" s="9">
        <v>13346</v>
      </c>
      <c r="AM32" s="9">
        <v>13346</v>
      </c>
      <c r="AN32" s="9"/>
      <c r="AO32" s="9"/>
      <c r="AP32" s="9">
        <v>36408</v>
      </c>
      <c r="AQ32" s="9">
        <v>36408</v>
      </c>
      <c r="AR32" s="9">
        <v>696876</v>
      </c>
      <c r="AS32" s="9">
        <v>696876</v>
      </c>
      <c r="AT32" s="9">
        <v>449942</v>
      </c>
      <c r="AU32" s="9">
        <v>449942</v>
      </c>
      <c r="AV32" s="9">
        <v>307045</v>
      </c>
      <c r="AW32" s="9">
        <v>307045</v>
      </c>
      <c r="AX32" s="9">
        <v>759301</v>
      </c>
      <c r="AY32" s="9">
        <v>759301</v>
      </c>
      <c r="AZ32" s="9"/>
      <c r="BA32" s="9"/>
      <c r="BB32" s="9">
        <v>864867</v>
      </c>
      <c r="BC32" s="9">
        <v>864867</v>
      </c>
      <c r="BD32" s="9">
        <v>2353146</v>
      </c>
      <c r="BE32" s="9">
        <v>2353146</v>
      </c>
      <c r="BF32" s="9">
        <v>9864</v>
      </c>
      <c r="BG32" s="9"/>
      <c r="BH32" s="9"/>
      <c r="BI32" s="9"/>
      <c r="BJ32" s="9">
        <v>146073</v>
      </c>
      <c r="BK32" s="9">
        <v>146073</v>
      </c>
      <c r="BL32" s="46">
        <f t="shared" si="4"/>
        <v>10934358.41</v>
      </c>
      <c r="BM32" s="46">
        <f t="shared" si="4"/>
        <v>13218221.42</v>
      </c>
    </row>
    <row r="33" spans="1:65" ht="15" customHeight="1" x14ac:dyDescent="0.25">
      <c r="A33" s="2" t="s">
        <v>278</v>
      </c>
      <c r="B33" s="9">
        <v>27096</v>
      </c>
      <c r="C33" s="9">
        <v>16055</v>
      </c>
      <c r="D33" s="9"/>
      <c r="E33" s="9"/>
      <c r="F33" s="9"/>
      <c r="G33" s="9"/>
      <c r="H33" s="9">
        <v>1042954</v>
      </c>
      <c r="I33" s="9">
        <v>965442</v>
      </c>
      <c r="J33" s="9"/>
      <c r="K33" s="9"/>
      <c r="L33" s="9">
        <v>730144</v>
      </c>
      <c r="M33" s="9">
        <v>681332</v>
      </c>
      <c r="N33" s="9">
        <v>457223</v>
      </c>
      <c r="O33" s="9">
        <v>366245</v>
      </c>
      <c r="P33" s="9"/>
      <c r="Q33" s="9"/>
      <c r="R33" s="9">
        <v>13554.53</v>
      </c>
      <c r="S33" s="9">
        <v>11126.98</v>
      </c>
      <c r="T33" s="9">
        <v>235215.76</v>
      </c>
      <c r="U33" s="9">
        <v>224741.44</v>
      </c>
      <c r="V33" s="9">
        <v>-581399</v>
      </c>
      <c r="W33" s="9">
        <v>-511528</v>
      </c>
      <c r="X33" s="9">
        <v>1626491</v>
      </c>
      <c r="Y33" s="9">
        <v>1545247</v>
      </c>
      <c r="Z33" s="9"/>
      <c r="AA33" s="9">
        <v>650211</v>
      </c>
      <c r="AB33" s="9">
        <v>48415</v>
      </c>
      <c r="AC33" s="9">
        <v>42618</v>
      </c>
      <c r="AD33" s="9">
        <v>132899</v>
      </c>
      <c r="AE33" s="9">
        <v>119502</v>
      </c>
      <c r="AF33" s="9">
        <v>-212813</v>
      </c>
      <c r="AG33" s="9">
        <v>-212813</v>
      </c>
      <c r="AH33" s="9"/>
      <c r="AI33" s="9"/>
      <c r="AJ33" s="9">
        <v>0</v>
      </c>
      <c r="AK33" s="9">
        <v>1581208.33</v>
      </c>
      <c r="AL33" s="9">
        <v>-13147</v>
      </c>
      <c r="AM33" s="9">
        <v>-11799</v>
      </c>
      <c r="AN33" s="9"/>
      <c r="AO33" s="9"/>
      <c r="AP33" s="9">
        <v>35026</v>
      </c>
      <c r="AQ33" s="9">
        <v>31581</v>
      </c>
      <c r="AR33" s="9">
        <v>667789</v>
      </c>
      <c r="AS33" s="9">
        <v>623579</v>
      </c>
      <c r="AT33" s="9">
        <v>444597</v>
      </c>
      <c r="AU33" s="9">
        <v>424144</v>
      </c>
      <c r="AV33" s="9">
        <v>292451</v>
      </c>
      <c r="AW33" s="9">
        <v>260515</v>
      </c>
      <c r="AX33" s="9">
        <v>761677</v>
      </c>
      <c r="AY33" s="9">
        <v>747485</v>
      </c>
      <c r="AZ33" s="9"/>
      <c r="BA33" s="9"/>
      <c r="BB33" s="9">
        <v>820640</v>
      </c>
      <c r="BC33" s="9">
        <v>725960</v>
      </c>
      <c r="BD33" s="9">
        <v>2328789</v>
      </c>
      <c r="BE33" s="9">
        <v>2257575</v>
      </c>
      <c r="BF33" s="9"/>
      <c r="BG33" s="9"/>
      <c r="BH33" s="9"/>
      <c r="BI33" s="9"/>
      <c r="BJ33" s="9">
        <v>141713</v>
      </c>
      <c r="BK33" s="9">
        <v>146529</v>
      </c>
      <c r="BL33" s="46">
        <f t="shared" si="4"/>
        <v>8999315.2899999991</v>
      </c>
      <c r="BM33" s="46">
        <f t="shared" si="4"/>
        <v>10684956.75</v>
      </c>
    </row>
    <row r="34" spans="1:65" s="7" customFormat="1" x14ac:dyDescent="0.25">
      <c r="A34" s="3" t="s">
        <v>279</v>
      </c>
      <c r="B34" s="10">
        <v>6005</v>
      </c>
      <c r="C34" s="10">
        <v>14558</v>
      </c>
      <c r="D34" s="10"/>
      <c r="E34" s="10"/>
      <c r="F34" s="10"/>
      <c r="G34" s="10"/>
      <c r="H34" s="10">
        <v>80693</v>
      </c>
      <c r="I34" s="10">
        <v>261495</v>
      </c>
      <c r="J34" s="10"/>
      <c r="K34" s="10"/>
      <c r="L34" s="10">
        <v>59765</v>
      </c>
      <c r="M34" s="10">
        <v>173576</v>
      </c>
      <c r="N34" s="10">
        <v>66313</v>
      </c>
      <c r="O34" s="10">
        <v>196530</v>
      </c>
      <c r="P34" s="10"/>
      <c r="Q34" s="10"/>
      <c r="R34" s="10">
        <v>3137.67</v>
      </c>
      <c r="S34" s="10">
        <v>9297.2800000000007</v>
      </c>
      <c r="T34" s="10">
        <v>24709.599999999999</v>
      </c>
      <c r="U34" s="10">
        <v>75195.490000000005</v>
      </c>
      <c r="V34" s="10">
        <v>61404</v>
      </c>
      <c r="W34" s="10">
        <v>165958</v>
      </c>
      <c r="X34" s="10">
        <v>144008</v>
      </c>
      <c r="Y34" s="10">
        <v>442776</v>
      </c>
      <c r="Z34" s="10">
        <v>74825</v>
      </c>
      <c r="AA34" s="10">
        <v>221011</v>
      </c>
      <c r="AB34" s="10">
        <v>7685</v>
      </c>
      <c r="AC34" s="10">
        <v>22748</v>
      </c>
      <c r="AD34" s="10">
        <v>22485</v>
      </c>
      <c r="AE34" s="10">
        <v>59374</v>
      </c>
      <c r="AF34" s="10">
        <v>25100</v>
      </c>
      <c r="AG34" s="10">
        <v>25100</v>
      </c>
      <c r="AH34" s="10"/>
      <c r="AI34" s="10"/>
      <c r="AJ34" s="10">
        <v>123334.33</v>
      </c>
      <c r="AK34" s="10">
        <v>355196.73</v>
      </c>
      <c r="AL34" s="10">
        <v>521</v>
      </c>
      <c r="AM34" s="10">
        <v>2797</v>
      </c>
      <c r="AN34" s="10"/>
      <c r="AO34" s="10"/>
      <c r="AP34" s="10">
        <v>5979</v>
      </c>
      <c r="AQ34" s="10">
        <v>18536</v>
      </c>
      <c r="AR34" s="10">
        <v>62011</v>
      </c>
      <c r="AS34" s="10">
        <v>182899</v>
      </c>
      <c r="AT34" s="10">
        <v>38729</v>
      </c>
      <c r="AU34" s="10">
        <v>116245</v>
      </c>
      <c r="AV34" s="10">
        <v>37762</v>
      </c>
      <c r="AW34" s="10">
        <v>117417</v>
      </c>
      <c r="AX34" s="10">
        <v>32675</v>
      </c>
      <c r="AY34" s="10">
        <v>95880</v>
      </c>
      <c r="AZ34" s="10"/>
      <c r="BA34" s="10"/>
      <c r="BB34" s="10">
        <v>93329</v>
      </c>
      <c r="BC34" s="10">
        <v>280660</v>
      </c>
      <c r="BD34" s="10">
        <v>228486</v>
      </c>
      <c r="BE34" s="10">
        <v>678655</v>
      </c>
      <c r="BF34" s="10">
        <v>82368</v>
      </c>
      <c r="BG34" s="10">
        <v>267830</v>
      </c>
      <c r="BH34" s="10">
        <v>138805</v>
      </c>
      <c r="BI34" s="10">
        <v>407736</v>
      </c>
      <c r="BJ34" s="10">
        <v>37732</v>
      </c>
      <c r="BK34" s="10">
        <v>85509</v>
      </c>
      <c r="BL34" s="42">
        <f t="shared" si="4"/>
        <v>1457861.6</v>
      </c>
      <c r="BM34" s="42">
        <f t="shared" si="4"/>
        <v>4276979.5</v>
      </c>
    </row>
    <row r="35" spans="1:65" x14ac:dyDescent="0.25">
      <c r="A35" s="5"/>
    </row>
    <row r="36" spans="1:65" x14ac:dyDescent="0.25">
      <c r="A36" s="18" t="s">
        <v>186</v>
      </c>
    </row>
    <row r="37" spans="1:65" x14ac:dyDescent="0.25">
      <c r="A37" s="3" t="s">
        <v>0</v>
      </c>
      <c r="B37" s="127" t="s">
        <v>1</v>
      </c>
      <c r="C37" s="128"/>
      <c r="D37" s="127" t="s">
        <v>232</v>
      </c>
      <c r="E37" s="128"/>
      <c r="F37" s="127" t="s">
        <v>2</v>
      </c>
      <c r="G37" s="128"/>
      <c r="H37" s="127" t="s">
        <v>3</v>
      </c>
      <c r="I37" s="128"/>
      <c r="J37" s="127" t="s">
        <v>241</v>
      </c>
      <c r="K37" s="128"/>
      <c r="L37" s="127" t="s">
        <v>233</v>
      </c>
      <c r="M37" s="128"/>
      <c r="N37" s="127" t="s">
        <v>244</v>
      </c>
      <c r="O37" s="128"/>
      <c r="P37" s="127" t="s">
        <v>5</v>
      </c>
      <c r="Q37" s="128"/>
      <c r="R37" s="127" t="s">
        <v>4</v>
      </c>
      <c r="S37" s="128"/>
      <c r="T37" s="127" t="s">
        <v>6</v>
      </c>
      <c r="U37" s="128"/>
      <c r="V37" s="127" t="s">
        <v>7</v>
      </c>
      <c r="W37" s="128"/>
      <c r="X37" s="127" t="s">
        <v>8</v>
      </c>
      <c r="Y37" s="128"/>
      <c r="Z37" s="127" t="s">
        <v>9</v>
      </c>
      <c r="AA37" s="128"/>
      <c r="AB37" s="127" t="s">
        <v>240</v>
      </c>
      <c r="AC37" s="128"/>
      <c r="AD37" s="127" t="s">
        <v>10</v>
      </c>
      <c r="AE37" s="128"/>
      <c r="AF37" s="127" t="s">
        <v>11</v>
      </c>
      <c r="AG37" s="128"/>
      <c r="AH37" s="127" t="s">
        <v>234</v>
      </c>
      <c r="AI37" s="128"/>
      <c r="AJ37" s="127" t="s">
        <v>12</v>
      </c>
      <c r="AK37" s="128"/>
      <c r="AL37" s="127" t="s">
        <v>235</v>
      </c>
      <c r="AM37" s="128"/>
      <c r="AN37" s="127" t="s">
        <v>293</v>
      </c>
      <c r="AO37" s="128"/>
      <c r="AP37" s="127" t="s">
        <v>236</v>
      </c>
      <c r="AQ37" s="128"/>
      <c r="AR37" s="127" t="s">
        <v>239</v>
      </c>
      <c r="AS37" s="128"/>
      <c r="AT37" s="127" t="s">
        <v>13</v>
      </c>
      <c r="AU37" s="128"/>
      <c r="AV37" s="127" t="s">
        <v>14</v>
      </c>
      <c r="AW37" s="128"/>
      <c r="AX37" s="127" t="s">
        <v>15</v>
      </c>
      <c r="AY37" s="128"/>
      <c r="AZ37" s="127" t="s">
        <v>16</v>
      </c>
      <c r="BA37" s="128"/>
      <c r="BB37" s="127" t="s">
        <v>17</v>
      </c>
      <c r="BC37" s="128"/>
      <c r="BD37" s="127" t="s">
        <v>237</v>
      </c>
      <c r="BE37" s="128"/>
      <c r="BF37" s="127" t="s">
        <v>238</v>
      </c>
      <c r="BG37" s="128"/>
      <c r="BH37" s="127" t="s">
        <v>18</v>
      </c>
      <c r="BI37" s="128"/>
      <c r="BJ37" s="127" t="s">
        <v>19</v>
      </c>
      <c r="BK37" s="128"/>
      <c r="BL37" s="129" t="s">
        <v>20</v>
      </c>
      <c r="BM37" s="130"/>
    </row>
    <row r="38" spans="1:65" ht="30" x14ac:dyDescent="0.25">
      <c r="A38" s="3"/>
      <c r="B38" s="32" t="s">
        <v>299</v>
      </c>
      <c r="C38" s="33" t="s">
        <v>298</v>
      </c>
      <c r="D38" s="32" t="s">
        <v>299</v>
      </c>
      <c r="E38" s="33" t="s">
        <v>298</v>
      </c>
      <c r="F38" s="32" t="s">
        <v>299</v>
      </c>
      <c r="G38" s="33" t="s">
        <v>298</v>
      </c>
      <c r="H38" s="32" t="s">
        <v>299</v>
      </c>
      <c r="I38" s="33" t="s">
        <v>298</v>
      </c>
      <c r="J38" s="32" t="s">
        <v>299</v>
      </c>
      <c r="K38" s="33" t="s">
        <v>298</v>
      </c>
      <c r="L38" s="32" t="s">
        <v>299</v>
      </c>
      <c r="M38" s="33" t="s">
        <v>298</v>
      </c>
      <c r="N38" s="32" t="s">
        <v>299</v>
      </c>
      <c r="O38" s="33" t="s">
        <v>298</v>
      </c>
      <c r="P38" s="32" t="s">
        <v>299</v>
      </c>
      <c r="Q38" s="33" t="s">
        <v>298</v>
      </c>
      <c r="R38" s="32" t="s">
        <v>299</v>
      </c>
      <c r="S38" s="33" t="s">
        <v>298</v>
      </c>
      <c r="T38" s="32" t="s">
        <v>299</v>
      </c>
      <c r="U38" s="33" t="s">
        <v>298</v>
      </c>
      <c r="V38" s="32" t="s">
        <v>299</v>
      </c>
      <c r="W38" s="33" t="s">
        <v>298</v>
      </c>
      <c r="X38" s="32" t="s">
        <v>299</v>
      </c>
      <c r="Y38" s="33" t="s">
        <v>298</v>
      </c>
      <c r="Z38" s="32" t="s">
        <v>299</v>
      </c>
      <c r="AA38" s="33" t="s">
        <v>298</v>
      </c>
      <c r="AB38" s="32" t="s">
        <v>299</v>
      </c>
      <c r="AC38" s="33" t="s">
        <v>298</v>
      </c>
      <c r="AD38" s="32" t="s">
        <v>299</v>
      </c>
      <c r="AE38" s="33" t="s">
        <v>298</v>
      </c>
      <c r="AF38" s="32" t="s">
        <v>299</v>
      </c>
      <c r="AG38" s="33" t="s">
        <v>298</v>
      </c>
      <c r="AH38" s="32" t="s">
        <v>299</v>
      </c>
      <c r="AI38" s="33" t="s">
        <v>298</v>
      </c>
      <c r="AJ38" s="32" t="s">
        <v>299</v>
      </c>
      <c r="AK38" s="33" t="s">
        <v>298</v>
      </c>
      <c r="AL38" s="32" t="s">
        <v>299</v>
      </c>
      <c r="AM38" s="33" t="s">
        <v>298</v>
      </c>
      <c r="AN38" s="32" t="s">
        <v>299</v>
      </c>
      <c r="AO38" s="33" t="s">
        <v>298</v>
      </c>
      <c r="AP38" s="32" t="s">
        <v>299</v>
      </c>
      <c r="AQ38" s="33" t="s">
        <v>298</v>
      </c>
      <c r="AR38" s="32" t="s">
        <v>299</v>
      </c>
      <c r="AS38" s="33" t="s">
        <v>298</v>
      </c>
      <c r="AT38" s="32" t="s">
        <v>299</v>
      </c>
      <c r="AU38" s="33" t="s">
        <v>298</v>
      </c>
      <c r="AV38" s="32" t="s">
        <v>299</v>
      </c>
      <c r="AW38" s="33" t="s">
        <v>298</v>
      </c>
      <c r="AX38" s="32" t="s">
        <v>299</v>
      </c>
      <c r="AY38" s="33" t="s">
        <v>298</v>
      </c>
      <c r="AZ38" s="32" t="s">
        <v>299</v>
      </c>
      <c r="BA38" s="33" t="s">
        <v>298</v>
      </c>
      <c r="BB38" s="32" t="s">
        <v>299</v>
      </c>
      <c r="BC38" s="33" t="s">
        <v>298</v>
      </c>
      <c r="BD38" s="32" t="s">
        <v>299</v>
      </c>
      <c r="BE38" s="33" t="s">
        <v>298</v>
      </c>
      <c r="BF38" s="32" t="s">
        <v>299</v>
      </c>
      <c r="BG38" s="33" t="s">
        <v>298</v>
      </c>
      <c r="BH38" s="32" t="s">
        <v>299</v>
      </c>
      <c r="BI38" s="33" t="s">
        <v>298</v>
      </c>
      <c r="BJ38" s="32" t="s">
        <v>299</v>
      </c>
      <c r="BK38" s="33" t="s">
        <v>298</v>
      </c>
      <c r="BL38" s="32" t="s">
        <v>299</v>
      </c>
      <c r="BM38" s="33" t="s">
        <v>298</v>
      </c>
    </row>
    <row r="39" spans="1:65" x14ac:dyDescent="0.25">
      <c r="A39" s="2" t="s">
        <v>273</v>
      </c>
      <c r="B39" s="9">
        <v>13663</v>
      </c>
      <c r="C39" s="9">
        <v>33303</v>
      </c>
      <c r="D39" s="9">
        <v>35068</v>
      </c>
      <c r="E39" s="9">
        <v>89607</v>
      </c>
      <c r="F39" s="9"/>
      <c r="G39" s="9"/>
      <c r="H39" s="9">
        <v>53361</v>
      </c>
      <c r="I39" s="9">
        <v>186960</v>
      </c>
      <c r="J39" s="9">
        <v>76057</v>
      </c>
      <c r="K39" s="9">
        <v>173795</v>
      </c>
      <c r="L39" s="9">
        <v>10512</v>
      </c>
      <c r="M39" s="9">
        <v>29157</v>
      </c>
      <c r="N39" s="9">
        <v>11502</v>
      </c>
      <c r="O39" s="9">
        <v>24788</v>
      </c>
      <c r="P39" s="9"/>
      <c r="Q39" s="9"/>
      <c r="R39" s="9">
        <v>3018.93</v>
      </c>
      <c r="S39" s="9">
        <v>7577.66</v>
      </c>
      <c r="T39" s="9">
        <v>13591.79</v>
      </c>
      <c r="U39" s="9">
        <v>35779.089999999997</v>
      </c>
      <c r="V39" s="9">
        <v>106500</v>
      </c>
      <c r="W39" s="9">
        <v>259234</v>
      </c>
      <c r="X39" s="9">
        <v>77052</v>
      </c>
      <c r="Y39" s="9">
        <v>221538</v>
      </c>
      <c r="Z39" s="9">
        <v>54838</v>
      </c>
      <c r="AA39" s="9">
        <v>148529</v>
      </c>
      <c r="AB39" s="9">
        <v>5518</v>
      </c>
      <c r="AC39" s="9">
        <v>13216</v>
      </c>
      <c r="AD39" s="9">
        <v>5483</v>
      </c>
      <c r="AE39" s="9">
        <v>15157</v>
      </c>
      <c r="AF39" s="9">
        <v>2989</v>
      </c>
      <c r="AG39" s="9">
        <v>6679</v>
      </c>
      <c r="AH39" s="9">
        <v>19300.8</v>
      </c>
      <c r="AI39" s="9">
        <v>52780.25</v>
      </c>
      <c r="AJ39" s="9">
        <v>165975.94</v>
      </c>
      <c r="AK39" s="9">
        <v>459893.08</v>
      </c>
      <c r="AL39" s="9">
        <v>866</v>
      </c>
      <c r="AM39" s="9">
        <v>2202</v>
      </c>
      <c r="AN39" s="9">
        <v>37836</v>
      </c>
      <c r="AO39" s="9">
        <v>115186</v>
      </c>
      <c r="AP39" s="9">
        <v>233</v>
      </c>
      <c r="AQ39" s="9">
        <v>505</v>
      </c>
      <c r="AR39" s="9">
        <v>19544</v>
      </c>
      <c r="AS39" s="9">
        <v>59672</v>
      </c>
      <c r="AT39" s="9">
        <v>9834</v>
      </c>
      <c r="AU39" s="9">
        <v>24105</v>
      </c>
      <c r="AV39" s="9">
        <v>34366</v>
      </c>
      <c r="AW39" s="9">
        <v>92024</v>
      </c>
      <c r="AX39" s="9"/>
      <c r="AY39" s="9"/>
      <c r="AZ39" s="9">
        <v>200029</v>
      </c>
      <c r="BA39" s="9">
        <v>587005</v>
      </c>
      <c r="BB39" s="9">
        <v>27473</v>
      </c>
      <c r="BC39" s="9">
        <v>80362</v>
      </c>
      <c r="BD39" s="9">
        <v>447637</v>
      </c>
      <c r="BE39" s="9">
        <v>1257092</v>
      </c>
      <c r="BF39" s="9">
        <v>243452</v>
      </c>
      <c r="BG39" s="9">
        <v>631613</v>
      </c>
      <c r="BH39" s="9">
        <v>183257</v>
      </c>
      <c r="BI39" s="9">
        <v>504999</v>
      </c>
      <c r="BJ39" s="9">
        <v>7632</v>
      </c>
      <c r="BK39" s="9">
        <v>20046</v>
      </c>
      <c r="BL39" s="46">
        <f t="shared" ref="BL39:BL45" si="5">SUM(B39+D39+F39+H39+J39+L39+N39+P39+R39+T39+V39+X39+Z39+AB39+AD39+AF39+AH39+AJ39+AL39+AN39+AP39+AR39+AT39+AV39+AX39+AZ39+BB39+BD39+BF39+BH39+BJ39)</f>
        <v>1866589.46</v>
      </c>
      <c r="BM39" s="46">
        <f t="shared" ref="BM39:BM45" si="6">SUM(C39+E39+G39+I39+K39+M39+O39+Q39+S39+U39+W39+Y39+AA39+AC39+AE39+AG39+AI39+AK39+AM39+AO39+AQ39+AS39+AU39+AW39+AY39+BA39+BC39+BE39+BG39+BI39+BK39)</f>
        <v>5132804.08</v>
      </c>
    </row>
    <row r="40" spans="1:65" x14ac:dyDescent="0.25">
      <c r="A40" s="2" t="s">
        <v>274</v>
      </c>
      <c r="B40" s="9"/>
      <c r="C40" s="9"/>
      <c r="D40" s="9"/>
      <c r="E40" s="9"/>
      <c r="F40" s="9"/>
      <c r="G40" s="9"/>
      <c r="H40" s="9"/>
      <c r="I40" s="9">
        <v>0</v>
      </c>
      <c r="J40" s="9">
        <v>4815</v>
      </c>
      <c r="K40" s="9">
        <v>9254</v>
      </c>
      <c r="L40" s="9"/>
      <c r="M40" s="9"/>
      <c r="N40" s="9"/>
      <c r="O40" s="9">
        <v>2186</v>
      </c>
      <c r="P40" s="9"/>
      <c r="Q40" s="9"/>
      <c r="R40" s="9">
        <v>190.61</v>
      </c>
      <c r="S40" s="9">
        <v>339.2</v>
      </c>
      <c r="T40" s="9"/>
      <c r="U40" s="9">
        <v>6.25</v>
      </c>
      <c r="V40" s="9"/>
      <c r="W40" s="9"/>
      <c r="X40" s="9">
        <v>17414</v>
      </c>
      <c r="Y40" s="9">
        <v>19568</v>
      </c>
      <c r="Z40" s="9"/>
      <c r="AA40" s="9">
        <v>1294</v>
      </c>
      <c r="AB40" s="9"/>
      <c r="AC40" s="9"/>
      <c r="AD40" s="9"/>
      <c r="AE40" s="9"/>
      <c r="AF40" s="9"/>
      <c r="AG40" s="9"/>
      <c r="AH40" s="9"/>
      <c r="AI40" s="9"/>
      <c r="AJ40" s="9">
        <v>18.54</v>
      </c>
      <c r="AK40" s="9">
        <v>18716.900000000001</v>
      </c>
      <c r="AL40" s="9"/>
      <c r="AM40" s="9"/>
      <c r="AN40" s="9"/>
      <c r="AO40" s="9"/>
      <c r="AP40" s="9"/>
      <c r="AQ40" s="9"/>
      <c r="AR40" s="9"/>
      <c r="AS40" s="9">
        <v>0</v>
      </c>
      <c r="AT40" s="9"/>
      <c r="AU40" s="9"/>
      <c r="AV40" s="9"/>
      <c r="AW40" s="9">
        <v>3488</v>
      </c>
      <c r="AX40" s="9"/>
      <c r="AY40" s="9"/>
      <c r="AZ40" s="9"/>
      <c r="BA40" s="9"/>
      <c r="BB40" s="9">
        <v>636</v>
      </c>
      <c r="BC40" s="9">
        <v>3109</v>
      </c>
      <c r="BD40" s="9">
        <v>934</v>
      </c>
      <c r="BE40" s="9">
        <v>4226</v>
      </c>
      <c r="BF40" s="9">
        <v>0</v>
      </c>
      <c r="BG40" s="9">
        <v>21708</v>
      </c>
      <c r="BH40" s="9"/>
      <c r="BI40" s="9"/>
      <c r="BJ40" s="9">
        <v>645</v>
      </c>
      <c r="BK40" s="9">
        <v>2413</v>
      </c>
      <c r="BL40" s="46">
        <f t="shared" si="5"/>
        <v>24653.15</v>
      </c>
      <c r="BM40" s="46">
        <f t="shared" si="6"/>
        <v>86308.35</v>
      </c>
    </row>
    <row r="41" spans="1:65" x14ac:dyDescent="0.25">
      <c r="A41" s="2" t="s">
        <v>275</v>
      </c>
      <c r="B41" s="9">
        <v>596</v>
      </c>
      <c r="C41" s="9">
        <v>1539</v>
      </c>
      <c r="D41" s="9">
        <v>6229</v>
      </c>
      <c r="E41" s="9">
        <v>16521</v>
      </c>
      <c r="F41" s="9"/>
      <c r="G41" s="9"/>
      <c r="H41" s="9">
        <v>-11759</v>
      </c>
      <c r="I41" s="9">
        <v>-58385</v>
      </c>
      <c r="J41" s="9">
        <v>17374</v>
      </c>
      <c r="K41" s="9">
        <v>43159</v>
      </c>
      <c r="L41" s="9">
        <v>2238</v>
      </c>
      <c r="M41" s="9">
        <v>6286</v>
      </c>
      <c r="N41" s="9">
        <v>490</v>
      </c>
      <c r="O41" s="9">
        <v>1107</v>
      </c>
      <c r="P41" s="9"/>
      <c r="Q41" s="9"/>
      <c r="R41" s="9">
        <v>134.59</v>
      </c>
      <c r="S41" s="9">
        <v>370.35</v>
      </c>
      <c r="T41" s="9">
        <v>5167.2700000000004</v>
      </c>
      <c r="U41" s="9">
        <v>12916.78</v>
      </c>
      <c r="V41" s="9">
        <v>-28933</v>
      </c>
      <c r="W41" s="9">
        <v>-70264</v>
      </c>
      <c r="X41" s="9">
        <v>9140</v>
      </c>
      <c r="Y41" s="9">
        <v>27610</v>
      </c>
      <c r="Z41" s="9">
        <v>11256</v>
      </c>
      <c r="AA41" s="9">
        <v>34361</v>
      </c>
      <c r="AB41" s="9">
        <v>1577</v>
      </c>
      <c r="AC41" s="9">
        <v>3424</v>
      </c>
      <c r="AD41" s="9">
        <v>253</v>
      </c>
      <c r="AE41" s="9">
        <v>804</v>
      </c>
      <c r="AF41" s="9">
        <v>-162</v>
      </c>
      <c r="AG41" s="9">
        <v>-339</v>
      </c>
      <c r="AH41" s="9">
        <v>852.67</v>
      </c>
      <c r="AI41" s="9">
        <v>2438.2600000000002</v>
      </c>
      <c r="AJ41" s="9">
        <v>23161.57</v>
      </c>
      <c r="AK41" s="9">
        <v>48734.36</v>
      </c>
      <c r="AL41" s="9">
        <v>-37</v>
      </c>
      <c r="AM41" s="9">
        <v>-112</v>
      </c>
      <c r="AN41" s="9">
        <v>7752</v>
      </c>
      <c r="AO41" s="9">
        <v>24222</v>
      </c>
      <c r="AP41" s="9">
        <v>10</v>
      </c>
      <c r="AQ41" s="9">
        <v>22</v>
      </c>
      <c r="AR41" s="9">
        <v>1038</v>
      </c>
      <c r="AS41" s="9">
        <v>3913</v>
      </c>
      <c r="AT41" s="9">
        <v>1047</v>
      </c>
      <c r="AU41" s="9">
        <v>2713</v>
      </c>
      <c r="AV41" s="9">
        <v>6463</v>
      </c>
      <c r="AW41" s="9">
        <v>21104</v>
      </c>
      <c r="AX41" s="9"/>
      <c r="AY41" s="9"/>
      <c r="AZ41" s="9">
        <v>8900</v>
      </c>
      <c r="BA41" s="9">
        <v>27460</v>
      </c>
      <c r="BB41" s="9">
        <v>1480</v>
      </c>
      <c r="BC41" s="9">
        <v>4614</v>
      </c>
      <c r="BD41" s="9">
        <v>51917</v>
      </c>
      <c r="BE41" s="9">
        <v>161504</v>
      </c>
      <c r="BF41" s="9">
        <v>7668</v>
      </c>
      <c r="BG41" s="9">
        <v>22137</v>
      </c>
      <c r="BH41" s="9">
        <v>7372</v>
      </c>
      <c r="BI41" s="9">
        <v>25897</v>
      </c>
      <c r="BJ41" s="9">
        <v>393</v>
      </c>
      <c r="BK41" s="9">
        <v>1746</v>
      </c>
      <c r="BL41" s="46">
        <f t="shared" si="5"/>
        <v>131618.1</v>
      </c>
      <c r="BM41" s="46">
        <f t="shared" si="6"/>
        <v>365502.75</v>
      </c>
    </row>
    <row r="42" spans="1:65" s="7" customFormat="1" x14ac:dyDescent="0.25">
      <c r="A42" s="3" t="s">
        <v>276</v>
      </c>
      <c r="B42" s="10">
        <v>13068</v>
      </c>
      <c r="C42" s="10">
        <v>31765</v>
      </c>
      <c r="D42" s="10">
        <v>28839</v>
      </c>
      <c r="E42" s="10">
        <v>73086</v>
      </c>
      <c r="F42" s="10"/>
      <c r="G42" s="10"/>
      <c r="H42" s="10">
        <v>41602</v>
      </c>
      <c r="I42" s="10">
        <v>128575</v>
      </c>
      <c r="J42" s="10">
        <v>63498</v>
      </c>
      <c r="K42" s="10">
        <v>139890</v>
      </c>
      <c r="L42" s="10">
        <v>8274</v>
      </c>
      <c r="M42" s="10">
        <v>22871</v>
      </c>
      <c r="N42" s="10">
        <v>11012</v>
      </c>
      <c r="O42" s="10">
        <v>25867</v>
      </c>
      <c r="P42" s="10"/>
      <c r="Q42" s="10"/>
      <c r="R42" s="10">
        <v>3074.95</v>
      </c>
      <c r="S42" s="10">
        <v>7546.51</v>
      </c>
      <c r="T42" s="10">
        <v>8424.52</v>
      </c>
      <c r="U42" s="10">
        <v>22868.55</v>
      </c>
      <c r="V42" s="10">
        <v>77568</v>
      </c>
      <c r="W42" s="10">
        <v>188970</v>
      </c>
      <c r="X42" s="10">
        <v>85326</v>
      </c>
      <c r="Y42" s="10">
        <v>213496</v>
      </c>
      <c r="Z42" s="10">
        <v>43582</v>
      </c>
      <c r="AA42" s="10">
        <v>115462</v>
      </c>
      <c r="AB42" s="10">
        <v>3941</v>
      </c>
      <c r="AC42" s="10">
        <v>9792</v>
      </c>
      <c r="AD42" s="10">
        <v>5230</v>
      </c>
      <c r="AE42" s="10">
        <v>14354</v>
      </c>
      <c r="AF42" s="10">
        <v>2827</v>
      </c>
      <c r="AG42" s="10">
        <v>6341</v>
      </c>
      <c r="AH42" s="10">
        <v>18448.14</v>
      </c>
      <c r="AI42" s="10">
        <v>50341.98</v>
      </c>
      <c r="AJ42" s="10">
        <v>142832.91</v>
      </c>
      <c r="AK42" s="10">
        <v>429875.62</v>
      </c>
      <c r="AL42" s="10">
        <v>829</v>
      </c>
      <c r="AM42" s="10">
        <v>2090</v>
      </c>
      <c r="AN42" s="10">
        <v>30084</v>
      </c>
      <c r="AO42" s="10">
        <v>90964</v>
      </c>
      <c r="AP42" s="10">
        <v>223</v>
      </c>
      <c r="AQ42" s="10">
        <v>483</v>
      </c>
      <c r="AR42" s="10">
        <v>18505</v>
      </c>
      <c r="AS42" s="10">
        <v>55759</v>
      </c>
      <c r="AT42" s="10">
        <v>8787</v>
      </c>
      <c r="AU42" s="10">
        <v>21392</v>
      </c>
      <c r="AV42" s="10">
        <v>27903</v>
      </c>
      <c r="AW42" s="10">
        <v>74408</v>
      </c>
      <c r="AX42" s="10"/>
      <c r="AY42" s="10"/>
      <c r="AZ42" s="10">
        <v>191130</v>
      </c>
      <c r="BA42" s="10">
        <v>559545</v>
      </c>
      <c r="BB42" s="10">
        <v>26629</v>
      </c>
      <c r="BC42" s="10">
        <v>78857</v>
      </c>
      <c r="BD42" s="10">
        <v>396654</v>
      </c>
      <c r="BE42" s="10">
        <v>1099813</v>
      </c>
      <c r="BF42" s="10">
        <v>235783</v>
      </c>
      <c r="BG42" s="10">
        <v>631184</v>
      </c>
      <c r="BH42" s="10">
        <v>175885</v>
      </c>
      <c r="BI42" s="10">
        <v>479102</v>
      </c>
      <c r="BJ42" s="10">
        <v>7884</v>
      </c>
      <c r="BK42" s="10">
        <v>20714</v>
      </c>
      <c r="BL42" s="42">
        <f t="shared" si="5"/>
        <v>1677843.52</v>
      </c>
      <c r="BM42" s="42">
        <f t="shared" si="6"/>
        <v>4595412.66</v>
      </c>
    </row>
    <row r="43" spans="1:65" x14ac:dyDescent="0.25">
      <c r="A43" s="2" t="s">
        <v>277</v>
      </c>
      <c r="B43" s="9">
        <v>5640</v>
      </c>
      <c r="C43" s="9">
        <v>5640</v>
      </c>
      <c r="D43" s="9">
        <v>18907</v>
      </c>
      <c r="E43" s="9">
        <v>18907</v>
      </c>
      <c r="F43" s="9"/>
      <c r="G43" s="9"/>
      <c r="H43" s="9">
        <v>31741</v>
      </c>
      <c r="I43" s="9">
        <v>31741</v>
      </c>
      <c r="J43" s="9">
        <v>46366</v>
      </c>
      <c r="K43" s="9">
        <v>46366</v>
      </c>
      <c r="L43" s="9">
        <v>6825</v>
      </c>
      <c r="M43" s="9">
        <v>6825</v>
      </c>
      <c r="N43" s="9">
        <v>10665</v>
      </c>
      <c r="O43" s="9">
        <v>10665</v>
      </c>
      <c r="P43" s="9"/>
      <c r="Q43" s="9"/>
      <c r="R43" s="9">
        <v>3291.16</v>
      </c>
      <c r="S43" s="9">
        <v>3291.16</v>
      </c>
      <c r="T43" s="9">
        <v>8128.02</v>
      </c>
      <c r="U43" s="9">
        <v>8128.02</v>
      </c>
      <c r="V43" s="9">
        <v>50091</v>
      </c>
      <c r="W43" s="9">
        <v>50091</v>
      </c>
      <c r="X43" s="9">
        <v>90580</v>
      </c>
      <c r="Y43" s="9">
        <v>90580</v>
      </c>
      <c r="Z43" s="9">
        <v>3775</v>
      </c>
      <c r="AA43" s="9">
        <v>36622</v>
      </c>
      <c r="AB43" s="9">
        <v>4107</v>
      </c>
      <c r="AC43" s="9">
        <v>4107</v>
      </c>
      <c r="AD43" s="9">
        <v>5303</v>
      </c>
      <c r="AE43" s="9">
        <v>5303</v>
      </c>
      <c r="AF43" s="9">
        <v>2565</v>
      </c>
      <c r="AG43" s="9">
        <v>2565</v>
      </c>
      <c r="AH43" s="9">
        <v>11449.5</v>
      </c>
      <c r="AI43" s="9">
        <v>11449.5</v>
      </c>
      <c r="AJ43" s="9">
        <v>-3822.1</v>
      </c>
      <c r="AK43" s="9">
        <v>128256.25</v>
      </c>
      <c r="AL43" s="9">
        <v>574</v>
      </c>
      <c r="AM43" s="9">
        <v>574</v>
      </c>
      <c r="AN43" s="9">
        <v>35948</v>
      </c>
      <c r="AO43" s="9">
        <v>35948</v>
      </c>
      <c r="AP43" s="9">
        <v>264</v>
      </c>
      <c r="AQ43" s="9">
        <v>264</v>
      </c>
      <c r="AR43" s="9">
        <v>38057</v>
      </c>
      <c r="AS43" s="9">
        <v>38057</v>
      </c>
      <c r="AT43" s="9">
        <v>8421</v>
      </c>
      <c r="AU43" s="9">
        <v>8421</v>
      </c>
      <c r="AV43" s="9">
        <v>33779</v>
      </c>
      <c r="AW43" s="9">
        <v>33779</v>
      </c>
      <c r="AX43" s="9">
        <v>270</v>
      </c>
      <c r="AY43" s="9">
        <v>270</v>
      </c>
      <c r="AZ43" s="9">
        <v>74283</v>
      </c>
      <c r="BA43" s="9">
        <v>74283</v>
      </c>
      <c r="BB43" s="9">
        <v>43161</v>
      </c>
      <c r="BC43" s="9">
        <v>43161</v>
      </c>
      <c r="BD43" s="9">
        <v>226025</v>
      </c>
      <c r="BE43" s="9">
        <v>226025</v>
      </c>
      <c r="BF43" s="9">
        <v>-27853</v>
      </c>
      <c r="BG43" s="9">
        <v>171004</v>
      </c>
      <c r="BH43" s="9"/>
      <c r="BI43" s="9"/>
      <c r="BJ43" s="9">
        <v>4857</v>
      </c>
      <c r="BK43" s="9">
        <v>4857</v>
      </c>
      <c r="BL43" s="46">
        <f t="shared" si="5"/>
        <v>733397.58000000007</v>
      </c>
      <c r="BM43" s="46">
        <f t="shared" si="6"/>
        <v>1097179.93</v>
      </c>
    </row>
    <row r="44" spans="1:65" ht="15" customHeight="1" x14ac:dyDescent="0.25">
      <c r="A44" s="2" t="s">
        <v>278</v>
      </c>
      <c r="B44" s="9">
        <v>7032</v>
      </c>
      <c r="C44" s="9">
        <v>3751</v>
      </c>
      <c r="D44" s="9">
        <v>17962</v>
      </c>
      <c r="E44" s="9">
        <v>11388</v>
      </c>
      <c r="F44" s="9"/>
      <c r="G44" s="9"/>
      <c r="H44" s="9">
        <v>34340</v>
      </c>
      <c r="I44" s="9">
        <v>43004</v>
      </c>
      <c r="J44" s="9">
        <v>58679</v>
      </c>
      <c r="K44" s="9">
        <v>44146</v>
      </c>
      <c r="L44" s="9">
        <v>6345</v>
      </c>
      <c r="M44" s="9">
        <v>6331</v>
      </c>
      <c r="N44" s="9">
        <v>7058</v>
      </c>
      <c r="O44" s="9">
        <v>3484</v>
      </c>
      <c r="P44" s="9"/>
      <c r="Q44" s="9"/>
      <c r="R44" s="9">
        <v>3991.86</v>
      </c>
      <c r="S44" s="9">
        <v>3081.76</v>
      </c>
      <c r="T44" s="9">
        <v>8300.2000000000007</v>
      </c>
      <c r="U44" s="9">
        <v>6308.9</v>
      </c>
      <c r="V44" s="9">
        <v>-60904</v>
      </c>
      <c r="W44" s="9">
        <v>-49635</v>
      </c>
      <c r="X44" s="9">
        <v>93931</v>
      </c>
      <c r="Y44" s="9">
        <v>75794</v>
      </c>
      <c r="Z44" s="9"/>
      <c r="AA44" s="9">
        <v>23268</v>
      </c>
      <c r="AB44" s="9">
        <v>4071</v>
      </c>
      <c r="AC44" s="9">
        <v>3802</v>
      </c>
      <c r="AD44" s="9">
        <v>5775</v>
      </c>
      <c r="AE44" s="9">
        <v>4705</v>
      </c>
      <c r="AF44" s="9">
        <v>-2354</v>
      </c>
      <c r="AG44" s="9">
        <v>-1387</v>
      </c>
      <c r="AH44" s="9">
        <v>11075.83</v>
      </c>
      <c r="AI44" s="9">
        <v>10102.709999999999</v>
      </c>
      <c r="AJ44" s="9">
        <v>0</v>
      </c>
      <c r="AK44" s="9">
        <v>112788.08</v>
      </c>
      <c r="AL44" s="9">
        <v>-561</v>
      </c>
      <c r="AM44" s="9">
        <v>-441</v>
      </c>
      <c r="AN44" s="9">
        <v>29540</v>
      </c>
      <c r="AO44" s="9">
        <v>25807</v>
      </c>
      <c r="AP44" s="9">
        <v>212</v>
      </c>
      <c r="AQ44" s="9">
        <v>188</v>
      </c>
      <c r="AR44" s="9">
        <v>35145</v>
      </c>
      <c r="AS44" s="9">
        <v>27407</v>
      </c>
      <c r="AT44" s="9">
        <v>9142</v>
      </c>
      <c r="AU44" s="9">
        <v>7010</v>
      </c>
      <c r="AV44" s="9">
        <v>29220</v>
      </c>
      <c r="AW44" s="9">
        <v>30617</v>
      </c>
      <c r="AX44" s="9">
        <v>326</v>
      </c>
      <c r="AY44" s="9">
        <v>366</v>
      </c>
      <c r="AZ44" s="9">
        <v>84825</v>
      </c>
      <c r="BA44" s="9">
        <v>87328</v>
      </c>
      <c r="BB44" s="9">
        <v>38852</v>
      </c>
      <c r="BC44" s="9">
        <v>30752</v>
      </c>
      <c r="BD44" s="9">
        <v>214455</v>
      </c>
      <c r="BE44" s="9">
        <v>191471</v>
      </c>
      <c r="BF44" s="9">
        <v>0</v>
      </c>
      <c r="BG44" s="9">
        <v>118909</v>
      </c>
      <c r="BH44" s="9"/>
      <c r="BI44" s="9"/>
      <c r="BJ44" s="9">
        <v>3905</v>
      </c>
      <c r="BK44" s="9">
        <v>3443</v>
      </c>
      <c r="BL44" s="46">
        <f t="shared" si="5"/>
        <v>640363.89</v>
      </c>
      <c r="BM44" s="46">
        <f t="shared" si="6"/>
        <v>823789.45</v>
      </c>
    </row>
    <row r="45" spans="1:65" s="7" customFormat="1" x14ac:dyDescent="0.25">
      <c r="A45" s="3" t="s">
        <v>279</v>
      </c>
      <c r="B45" s="10">
        <v>11676</v>
      </c>
      <c r="C45" s="10">
        <v>33654</v>
      </c>
      <c r="D45" s="10">
        <v>29784</v>
      </c>
      <c r="E45" s="10">
        <v>80604</v>
      </c>
      <c r="F45" s="10"/>
      <c r="G45" s="10"/>
      <c r="H45" s="10">
        <v>39002</v>
      </c>
      <c r="I45" s="10">
        <v>117312</v>
      </c>
      <c r="J45" s="10">
        <v>51185</v>
      </c>
      <c r="K45" s="10">
        <v>142110</v>
      </c>
      <c r="L45" s="10">
        <v>8755</v>
      </c>
      <c r="M45" s="10">
        <v>23365</v>
      </c>
      <c r="N45" s="10">
        <v>14619</v>
      </c>
      <c r="O45" s="10">
        <v>33048</v>
      </c>
      <c r="P45" s="10"/>
      <c r="Q45" s="10"/>
      <c r="R45" s="10">
        <v>2374.25</v>
      </c>
      <c r="S45" s="10">
        <v>7755.91</v>
      </c>
      <c r="T45" s="10">
        <v>8252.34</v>
      </c>
      <c r="U45" s="10">
        <v>24687.68</v>
      </c>
      <c r="V45" s="10">
        <v>66755</v>
      </c>
      <c r="W45" s="10">
        <v>189426</v>
      </c>
      <c r="X45" s="10">
        <v>81975</v>
      </c>
      <c r="Y45" s="10">
        <v>228282</v>
      </c>
      <c r="Z45" s="10">
        <v>47357</v>
      </c>
      <c r="AA45" s="10">
        <v>128816</v>
      </c>
      <c r="AB45" s="10">
        <v>3976</v>
      </c>
      <c r="AC45" s="10">
        <v>10098</v>
      </c>
      <c r="AD45" s="10">
        <v>4758</v>
      </c>
      <c r="AE45" s="10">
        <v>14951</v>
      </c>
      <c r="AF45" s="10">
        <v>3038</v>
      </c>
      <c r="AG45" s="10">
        <v>7520</v>
      </c>
      <c r="AH45" s="10">
        <v>18821.79</v>
      </c>
      <c r="AI45" s="10">
        <v>51688.76</v>
      </c>
      <c r="AJ45" s="10">
        <v>139010.81</v>
      </c>
      <c r="AK45" s="10">
        <v>445343.79</v>
      </c>
      <c r="AL45" s="10">
        <v>842</v>
      </c>
      <c r="AM45" s="10">
        <v>2223</v>
      </c>
      <c r="AN45" s="10">
        <v>36492</v>
      </c>
      <c r="AO45" s="10">
        <v>101105</v>
      </c>
      <c r="AP45" s="10">
        <v>275</v>
      </c>
      <c r="AQ45" s="10">
        <v>559</v>
      </c>
      <c r="AR45" s="10">
        <v>21418</v>
      </c>
      <c r="AS45" s="10">
        <v>66409</v>
      </c>
      <c r="AT45" s="10">
        <v>8066</v>
      </c>
      <c r="AU45" s="10">
        <v>22803</v>
      </c>
      <c r="AV45" s="10">
        <v>32461</v>
      </c>
      <c r="AW45" s="10">
        <v>77569</v>
      </c>
      <c r="AX45" s="10">
        <v>-56</v>
      </c>
      <c r="AY45" s="10">
        <v>-97</v>
      </c>
      <c r="AZ45" s="10">
        <v>180587</v>
      </c>
      <c r="BA45" s="10">
        <v>546500</v>
      </c>
      <c r="BB45" s="10">
        <v>30938</v>
      </c>
      <c r="BC45" s="10">
        <v>91265</v>
      </c>
      <c r="BD45" s="10">
        <v>408223</v>
      </c>
      <c r="BE45" s="10">
        <v>1134367</v>
      </c>
      <c r="BF45" s="10">
        <v>207930</v>
      </c>
      <c r="BG45" s="10">
        <v>683279</v>
      </c>
      <c r="BH45" s="10">
        <v>183228</v>
      </c>
      <c r="BI45" s="10">
        <v>524551</v>
      </c>
      <c r="BJ45" s="10">
        <v>8836</v>
      </c>
      <c r="BK45" s="10">
        <v>22128</v>
      </c>
      <c r="BL45" s="42">
        <f t="shared" si="5"/>
        <v>1650579.19</v>
      </c>
      <c r="BM45" s="42">
        <f t="shared" si="6"/>
        <v>4811323.1399999997</v>
      </c>
    </row>
    <row r="46" spans="1:65" x14ac:dyDescent="0.25">
      <c r="A46" s="5"/>
    </row>
    <row r="47" spans="1:65" x14ac:dyDescent="0.25">
      <c r="A47" s="18" t="s">
        <v>187</v>
      </c>
    </row>
    <row r="48" spans="1:65" x14ac:dyDescent="0.25">
      <c r="A48" s="3" t="s">
        <v>0</v>
      </c>
      <c r="B48" s="127" t="s">
        <v>1</v>
      </c>
      <c r="C48" s="128"/>
      <c r="D48" s="127" t="s">
        <v>232</v>
      </c>
      <c r="E48" s="128"/>
      <c r="F48" s="127" t="s">
        <v>2</v>
      </c>
      <c r="G48" s="128"/>
      <c r="H48" s="127" t="s">
        <v>3</v>
      </c>
      <c r="I48" s="128"/>
      <c r="J48" s="127" t="s">
        <v>241</v>
      </c>
      <c r="K48" s="128"/>
      <c r="L48" s="127" t="s">
        <v>233</v>
      </c>
      <c r="M48" s="128"/>
      <c r="N48" s="127" t="s">
        <v>244</v>
      </c>
      <c r="O48" s="128"/>
      <c r="P48" s="127" t="s">
        <v>5</v>
      </c>
      <c r="Q48" s="128"/>
      <c r="R48" s="127" t="s">
        <v>4</v>
      </c>
      <c r="S48" s="128"/>
      <c r="T48" s="127" t="s">
        <v>6</v>
      </c>
      <c r="U48" s="128"/>
      <c r="V48" s="127" t="s">
        <v>7</v>
      </c>
      <c r="W48" s="128"/>
      <c r="X48" s="127" t="s">
        <v>8</v>
      </c>
      <c r="Y48" s="128"/>
      <c r="Z48" s="127" t="s">
        <v>9</v>
      </c>
      <c r="AA48" s="128"/>
      <c r="AB48" s="127" t="s">
        <v>240</v>
      </c>
      <c r="AC48" s="128"/>
      <c r="AD48" s="127" t="s">
        <v>10</v>
      </c>
      <c r="AE48" s="128"/>
      <c r="AF48" s="127" t="s">
        <v>11</v>
      </c>
      <c r="AG48" s="128"/>
      <c r="AH48" s="127" t="s">
        <v>234</v>
      </c>
      <c r="AI48" s="128"/>
      <c r="AJ48" s="127" t="s">
        <v>12</v>
      </c>
      <c r="AK48" s="128"/>
      <c r="AL48" s="127" t="s">
        <v>235</v>
      </c>
      <c r="AM48" s="128"/>
      <c r="AN48" s="127" t="s">
        <v>293</v>
      </c>
      <c r="AO48" s="128"/>
      <c r="AP48" s="127" t="s">
        <v>236</v>
      </c>
      <c r="AQ48" s="128"/>
      <c r="AR48" s="127" t="s">
        <v>239</v>
      </c>
      <c r="AS48" s="128"/>
      <c r="AT48" s="127" t="s">
        <v>13</v>
      </c>
      <c r="AU48" s="128"/>
      <c r="AV48" s="127" t="s">
        <v>14</v>
      </c>
      <c r="AW48" s="128"/>
      <c r="AX48" s="127" t="s">
        <v>15</v>
      </c>
      <c r="AY48" s="128"/>
      <c r="AZ48" s="127" t="s">
        <v>16</v>
      </c>
      <c r="BA48" s="128"/>
      <c r="BB48" s="127" t="s">
        <v>17</v>
      </c>
      <c r="BC48" s="128"/>
      <c r="BD48" s="127" t="s">
        <v>237</v>
      </c>
      <c r="BE48" s="128"/>
      <c r="BF48" s="127" t="s">
        <v>238</v>
      </c>
      <c r="BG48" s="128"/>
      <c r="BH48" s="127" t="s">
        <v>18</v>
      </c>
      <c r="BI48" s="128"/>
      <c r="BJ48" s="127" t="s">
        <v>19</v>
      </c>
      <c r="BK48" s="128"/>
      <c r="BL48" s="129" t="s">
        <v>20</v>
      </c>
      <c r="BM48" s="130"/>
    </row>
    <row r="49" spans="1:65" ht="30" x14ac:dyDescent="0.25">
      <c r="A49" s="3"/>
      <c r="B49" s="32" t="s">
        <v>299</v>
      </c>
      <c r="C49" s="33" t="s">
        <v>298</v>
      </c>
      <c r="D49" s="32" t="s">
        <v>299</v>
      </c>
      <c r="E49" s="33" t="s">
        <v>298</v>
      </c>
      <c r="F49" s="32" t="s">
        <v>299</v>
      </c>
      <c r="G49" s="33" t="s">
        <v>298</v>
      </c>
      <c r="H49" s="32" t="s">
        <v>299</v>
      </c>
      <c r="I49" s="33" t="s">
        <v>298</v>
      </c>
      <c r="J49" s="32" t="s">
        <v>299</v>
      </c>
      <c r="K49" s="33" t="s">
        <v>298</v>
      </c>
      <c r="L49" s="32" t="s">
        <v>299</v>
      </c>
      <c r="M49" s="33" t="s">
        <v>298</v>
      </c>
      <c r="N49" s="32" t="s">
        <v>299</v>
      </c>
      <c r="O49" s="33" t="s">
        <v>298</v>
      </c>
      <c r="P49" s="32" t="s">
        <v>299</v>
      </c>
      <c r="Q49" s="33" t="s">
        <v>298</v>
      </c>
      <c r="R49" s="32" t="s">
        <v>299</v>
      </c>
      <c r="S49" s="33" t="s">
        <v>298</v>
      </c>
      <c r="T49" s="32" t="s">
        <v>299</v>
      </c>
      <c r="U49" s="33" t="s">
        <v>298</v>
      </c>
      <c r="V49" s="32" t="s">
        <v>299</v>
      </c>
      <c r="W49" s="33" t="s">
        <v>298</v>
      </c>
      <c r="X49" s="32" t="s">
        <v>299</v>
      </c>
      <c r="Y49" s="33" t="s">
        <v>298</v>
      </c>
      <c r="Z49" s="32" t="s">
        <v>299</v>
      </c>
      <c r="AA49" s="33" t="s">
        <v>298</v>
      </c>
      <c r="AB49" s="32" t="s">
        <v>299</v>
      </c>
      <c r="AC49" s="33" t="s">
        <v>298</v>
      </c>
      <c r="AD49" s="32" t="s">
        <v>299</v>
      </c>
      <c r="AE49" s="33" t="s">
        <v>298</v>
      </c>
      <c r="AF49" s="32" t="s">
        <v>299</v>
      </c>
      <c r="AG49" s="33" t="s">
        <v>298</v>
      </c>
      <c r="AH49" s="32" t="s">
        <v>299</v>
      </c>
      <c r="AI49" s="33" t="s">
        <v>298</v>
      </c>
      <c r="AJ49" s="32" t="s">
        <v>299</v>
      </c>
      <c r="AK49" s="33" t="s">
        <v>298</v>
      </c>
      <c r="AL49" s="32" t="s">
        <v>299</v>
      </c>
      <c r="AM49" s="33" t="s">
        <v>298</v>
      </c>
      <c r="AN49" s="32" t="s">
        <v>299</v>
      </c>
      <c r="AO49" s="33" t="s">
        <v>298</v>
      </c>
      <c r="AP49" s="32" t="s">
        <v>299</v>
      </c>
      <c r="AQ49" s="33" t="s">
        <v>298</v>
      </c>
      <c r="AR49" s="32" t="s">
        <v>299</v>
      </c>
      <c r="AS49" s="33" t="s">
        <v>298</v>
      </c>
      <c r="AT49" s="32" t="s">
        <v>299</v>
      </c>
      <c r="AU49" s="33" t="s">
        <v>298</v>
      </c>
      <c r="AV49" s="32" t="s">
        <v>299</v>
      </c>
      <c r="AW49" s="33" t="s">
        <v>298</v>
      </c>
      <c r="AX49" s="32" t="s">
        <v>299</v>
      </c>
      <c r="AY49" s="33" t="s">
        <v>298</v>
      </c>
      <c r="AZ49" s="32" t="s">
        <v>299</v>
      </c>
      <c r="BA49" s="33" t="s">
        <v>298</v>
      </c>
      <c r="BB49" s="32" t="s">
        <v>299</v>
      </c>
      <c r="BC49" s="33" t="s">
        <v>298</v>
      </c>
      <c r="BD49" s="32" t="s">
        <v>299</v>
      </c>
      <c r="BE49" s="33" t="s">
        <v>298</v>
      </c>
      <c r="BF49" s="32" t="s">
        <v>299</v>
      </c>
      <c r="BG49" s="33" t="s">
        <v>298</v>
      </c>
      <c r="BH49" s="32" t="s">
        <v>299</v>
      </c>
      <c r="BI49" s="33" t="s">
        <v>298</v>
      </c>
      <c r="BJ49" s="32" t="s">
        <v>299</v>
      </c>
      <c r="BK49" s="33" t="s">
        <v>298</v>
      </c>
      <c r="BL49" s="32" t="s">
        <v>299</v>
      </c>
      <c r="BM49" s="33" t="s">
        <v>298</v>
      </c>
    </row>
    <row r="50" spans="1:65" x14ac:dyDescent="0.25">
      <c r="A50" s="2" t="s">
        <v>273</v>
      </c>
      <c r="B50" s="9">
        <v>30</v>
      </c>
      <c r="C50" s="9">
        <v>60</v>
      </c>
      <c r="D50" s="9">
        <v>525</v>
      </c>
      <c r="E50" s="9">
        <v>2152</v>
      </c>
      <c r="F50" s="9"/>
      <c r="G50" s="9"/>
      <c r="H50" s="9">
        <v>1969</v>
      </c>
      <c r="I50" s="9">
        <v>6163</v>
      </c>
      <c r="J50" s="9">
        <v>1556</v>
      </c>
      <c r="K50" s="9">
        <v>4440</v>
      </c>
      <c r="L50" s="9">
        <v>2141</v>
      </c>
      <c r="M50" s="9">
        <v>5123</v>
      </c>
      <c r="N50" s="9">
        <v>765</v>
      </c>
      <c r="O50" s="9">
        <v>3424</v>
      </c>
      <c r="P50" s="9"/>
      <c r="Q50" s="9"/>
      <c r="R50" s="9">
        <v>104.52</v>
      </c>
      <c r="S50" s="9">
        <v>309.54000000000002</v>
      </c>
      <c r="T50" s="9">
        <v>1219.6300000000001</v>
      </c>
      <c r="U50" s="9">
        <v>3215.47</v>
      </c>
      <c r="V50" s="9">
        <v>4912</v>
      </c>
      <c r="W50" s="9">
        <v>15052</v>
      </c>
      <c r="X50" s="9">
        <v>5825</v>
      </c>
      <c r="Y50" s="9">
        <v>15967</v>
      </c>
      <c r="Z50" s="9">
        <v>1930</v>
      </c>
      <c r="AA50" s="9">
        <v>5863</v>
      </c>
      <c r="AB50" s="9">
        <v>147</v>
      </c>
      <c r="AC50" s="9">
        <v>373</v>
      </c>
      <c r="AD50" s="9">
        <v>416</v>
      </c>
      <c r="AE50" s="9">
        <v>766</v>
      </c>
      <c r="AF50" s="9">
        <v>37</v>
      </c>
      <c r="AG50" s="9">
        <v>108</v>
      </c>
      <c r="AH50" s="9">
        <v>33.020000000000003</v>
      </c>
      <c r="AI50" s="9">
        <v>293.12</v>
      </c>
      <c r="AJ50" s="9">
        <v>7563.15</v>
      </c>
      <c r="AK50" s="9">
        <v>17316.61</v>
      </c>
      <c r="AL50" s="9">
        <v>38</v>
      </c>
      <c r="AM50" s="9">
        <v>100</v>
      </c>
      <c r="AN50" s="9">
        <v>309</v>
      </c>
      <c r="AO50" s="9">
        <v>1002</v>
      </c>
      <c r="AP50" s="9">
        <v>0</v>
      </c>
      <c r="AQ50" s="9">
        <v>1</v>
      </c>
      <c r="AR50" s="9">
        <v>1320</v>
      </c>
      <c r="AS50" s="9">
        <v>3098</v>
      </c>
      <c r="AT50" s="9">
        <v>573</v>
      </c>
      <c r="AU50" s="9">
        <v>1637</v>
      </c>
      <c r="AV50" s="9">
        <v>7784</v>
      </c>
      <c r="AW50" s="9">
        <v>24078</v>
      </c>
      <c r="AX50" s="9">
        <v>245</v>
      </c>
      <c r="AY50" s="9">
        <v>883</v>
      </c>
      <c r="AZ50" s="9">
        <v>2009</v>
      </c>
      <c r="BA50" s="9">
        <v>5609</v>
      </c>
      <c r="BB50" s="9">
        <v>8737</v>
      </c>
      <c r="BC50" s="9">
        <v>24881</v>
      </c>
      <c r="BD50" s="9">
        <v>17451</v>
      </c>
      <c r="BE50" s="9">
        <v>51806</v>
      </c>
      <c r="BF50" s="9">
        <v>6794</v>
      </c>
      <c r="BG50" s="9">
        <v>18515</v>
      </c>
      <c r="BH50" s="9">
        <v>11116</v>
      </c>
      <c r="BI50" s="9">
        <v>35893</v>
      </c>
      <c r="BJ50" s="9">
        <v>5028</v>
      </c>
      <c r="BK50" s="9">
        <v>14834</v>
      </c>
      <c r="BL50" s="46">
        <f t="shared" ref="BL50:BL56" si="7">SUM(B50+D50+F50+H50+J50+L50+N50+P50+R50+T50+V50+X50+Z50+AB50+AD50+AF50+AH50+AJ50+AL50+AN50+AP50+AR50+AT50+AV50+AX50+AZ50+BB50+BD50+BF50+BH50+BJ50)</f>
        <v>90577.32</v>
      </c>
      <c r="BM50" s="46">
        <f t="shared" ref="BM50:BM56" si="8">SUM(C50+E50+G50+I50+K50+M50+O50+Q50+S50+U50+W50+Y50+AA50+AC50+AE50+AG50+AI50+AK50+AM50+AO50+AQ50+AS50+AU50+AW50+AY50+BA50+BC50+BE50+BG50+BI50+BK50)</f>
        <v>262962.74</v>
      </c>
    </row>
    <row r="51" spans="1:65" x14ac:dyDescent="0.25">
      <c r="A51" s="2" t="s">
        <v>274</v>
      </c>
      <c r="B51" s="9"/>
      <c r="C51" s="9"/>
      <c r="D51" s="9"/>
      <c r="E51" s="9"/>
      <c r="F51" s="9"/>
      <c r="G51" s="9"/>
      <c r="H51" s="9"/>
      <c r="I51" s="9">
        <v>0</v>
      </c>
      <c r="J51" s="9"/>
      <c r="K51" s="9"/>
      <c r="L51" s="9"/>
      <c r="M51" s="9"/>
      <c r="N51" s="9"/>
      <c r="O51" s="9"/>
      <c r="P51" s="9"/>
      <c r="Q51" s="9"/>
      <c r="R51" s="9">
        <v>5.36</v>
      </c>
      <c r="S51" s="9">
        <v>63.41</v>
      </c>
      <c r="T51" s="9"/>
      <c r="U51" s="9">
        <v>15.24</v>
      </c>
      <c r="V51" s="9">
        <v>10</v>
      </c>
      <c r="W51" s="9">
        <v>10</v>
      </c>
      <c r="X51" s="9"/>
      <c r="Y51" s="9"/>
      <c r="Z51" s="9">
        <v>22</v>
      </c>
      <c r="AA51" s="9">
        <v>447</v>
      </c>
      <c r="AB51" s="9"/>
      <c r="AC51" s="9"/>
      <c r="AD51" s="9"/>
      <c r="AE51" s="9"/>
      <c r="AF51" s="9">
        <v>3</v>
      </c>
      <c r="AG51" s="9">
        <v>13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>
        <v>673</v>
      </c>
      <c r="AU51" s="9">
        <v>1248</v>
      </c>
      <c r="AV51" s="9"/>
      <c r="AW51" s="9"/>
      <c r="AX51" s="9"/>
      <c r="AY51" s="9"/>
      <c r="AZ51" s="9"/>
      <c r="BA51" s="9"/>
      <c r="BB51" s="9"/>
      <c r="BC51" s="9">
        <v>22</v>
      </c>
      <c r="BD51" s="9">
        <v>81</v>
      </c>
      <c r="BE51" s="9">
        <v>254</v>
      </c>
      <c r="BF51" s="9">
        <v>50</v>
      </c>
      <c r="BG51" s="9">
        <v>50</v>
      </c>
      <c r="BH51" s="9">
        <v>51</v>
      </c>
      <c r="BI51" s="9">
        <v>104</v>
      </c>
      <c r="BJ51" s="9"/>
      <c r="BK51" s="9"/>
      <c r="BL51" s="46">
        <f t="shared" si="7"/>
        <v>895.36</v>
      </c>
      <c r="BM51" s="46">
        <f t="shared" si="8"/>
        <v>2226.65</v>
      </c>
    </row>
    <row r="52" spans="1:65" x14ac:dyDescent="0.25">
      <c r="A52" s="2" t="s">
        <v>275</v>
      </c>
      <c r="B52" s="9">
        <v>1</v>
      </c>
      <c r="C52" s="9">
        <v>4</v>
      </c>
      <c r="D52" s="9">
        <v>26</v>
      </c>
      <c r="E52" s="9">
        <v>317</v>
      </c>
      <c r="F52" s="9"/>
      <c r="G52" s="9"/>
      <c r="H52" s="9">
        <v>-104</v>
      </c>
      <c r="I52" s="9">
        <v>-369</v>
      </c>
      <c r="J52" s="9">
        <v>185</v>
      </c>
      <c r="K52" s="9">
        <v>413</v>
      </c>
      <c r="L52" s="9">
        <v>1067</v>
      </c>
      <c r="M52" s="9">
        <v>2098</v>
      </c>
      <c r="N52" s="9">
        <v>251</v>
      </c>
      <c r="O52" s="9">
        <v>1495</v>
      </c>
      <c r="P52" s="9"/>
      <c r="Q52" s="9"/>
      <c r="R52" s="9">
        <v>32.43</v>
      </c>
      <c r="S52" s="9">
        <v>118.68</v>
      </c>
      <c r="T52" s="9">
        <v>178.5</v>
      </c>
      <c r="U52" s="9">
        <v>434.63</v>
      </c>
      <c r="V52" s="9">
        <v>-980</v>
      </c>
      <c r="W52" s="9">
        <v>-4096</v>
      </c>
      <c r="X52" s="9">
        <v>992</v>
      </c>
      <c r="Y52" s="9">
        <v>1962</v>
      </c>
      <c r="Z52" s="9">
        <v>110</v>
      </c>
      <c r="AA52" s="9">
        <v>416</v>
      </c>
      <c r="AB52" s="9">
        <v>62</v>
      </c>
      <c r="AC52" s="9">
        <v>186</v>
      </c>
      <c r="AD52" s="9">
        <v>134</v>
      </c>
      <c r="AE52" s="9">
        <v>151</v>
      </c>
      <c r="AF52" s="9">
        <v>-2</v>
      </c>
      <c r="AG52" s="9">
        <v>-5</v>
      </c>
      <c r="AH52" s="9">
        <v>1.55</v>
      </c>
      <c r="AI52" s="9">
        <v>65.069999999999993</v>
      </c>
      <c r="AJ52" s="9">
        <v>356.83</v>
      </c>
      <c r="AK52" s="9">
        <v>867.85</v>
      </c>
      <c r="AL52" s="9">
        <v>-20</v>
      </c>
      <c r="AM52" s="9">
        <v>-51</v>
      </c>
      <c r="AN52" s="9">
        <v>57</v>
      </c>
      <c r="AO52" s="9">
        <v>87</v>
      </c>
      <c r="AP52" s="9">
        <v>0</v>
      </c>
      <c r="AQ52" s="9">
        <v>1</v>
      </c>
      <c r="AR52" s="9">
        <v>214</v>
      </c>
      <c r="AS52" s="9">
        <v>506</v>
      </c>
      <c r="AT52" s="9">
        <v>572</v>
      </c>
      <c r="AU52" s="9">
        <v>1238</v>
      </c>
      <c r="AV52" s="9">
        <v>2407</v>
      </c>
      <c r="AW52" s="9">
        <v>7111</v>
      </c>
      <c r="AX52" s="9">
        <v>119</v>
      </c>
      <c r="AY52" s="9">
        <v>529</v>
      </c>
      <c r="AZ52" s="9">
        <v>310</v>
      </c>
      <c r="BA52" s="9">
        <v>913</v>
      </c>
      <c r="BB52" s="9">
        <v>5239</v>
      </c>
      <c r="BC52" s="9">
        <v>14744</v>
      </c>
      <c r="BD52" s="9">
        <v>854</v>
      </c>
      <c r="BE52" s="9">
        <v>2574</v>
      </c>
      <c r="BF52" s="9">
        <v>1483</v>
      </c>
      <c r="BG52" s="9">
        <v>2070</v>
      </c>
      <c r="BH52" s="9">
        <v>6808</v>
      </c>
      <c r="BI52" s="9">
        <v>22112</v>
      </c>
      <c r="BJ52" s="9">
        <v>3370</v>
      </c>
      <c r="BK52" s="9">
        <v>9579</v>
      </c>
      <c r="BL52" s="46">
        <f t="shared" si="7"/>
        <v>23724.309999999998</v>
      </c>
      <c r="BM52" s="46">
        <f t="shared" si="8"/>
        <v>65471.229999999996</v>
      </c>
    </row>
    <row r="53" spans="1:65" s="7" customFormat="1" x14ac:dyDescent="0.25">
      <c r="A53" s="3" t="s">
        <v>276</v>
      </c>
      <c r="B53" s="10">
        <v>28</v>
      </c>
      <c r="C53" s="10">
        <v>56</v>
      </c>
      <c r="D53" s="10">
        <v>499</v>
      </c>
      <c r="E53" s="10">
        <v>1834</v>
      </c>
      <c r="F53" s="10"/>
      <c r="G53" s="10"/>
      <c r="H53" s="10">
        <v>1865</v>
      </c>
      <c r="I53" s="10">
        <v>5793</v>
      </c>
      <c r="J53" s="10">
        <v>1371</v>
      </c>
      <c r="K53" s="10">
        <v>4027</v>
      </c>
      <c r="L53" s="10">
        <v>1074</v>
      </c>
      <c r="M53" s="10">
        <v>3025</v>
      </c>
      <c r="N53" s="10">
        <v>514</v>
      </c>
      <c r="O53" s="10">
        <v>1929</v>
      </c>
      <c r="P53" s="10"/>
      <c r="Q53" s="10"/>
      <c r="R53" s="10">
        <v>77.45</v>
      </c>
      <c r="S53" s="10">
        <v>254.27</v>
      </c>
      <c r="T53" s="10">
        <v>1041.1300000000001</v>
      </c>
      <c r="U53" s="10">
        <v>2796.08</v>
      </c>
      <c r="V53" s="10">
        <v>3942</v>
      </c>
      <c r="W53" s="10">
        <v>10966</v>
      </c>
      <c r="X53" s="10">
        <v>4833</v>
      </c>
      <c r="Y53" s="10">
        <v>14005</v>
      </c>
      <c r="Z53" s="10">
        <v>1842</v>
      </c>
      <c r="AA53" s="10">
        <v>5894</v>
      </c>
      <c r="AB53" s="10">
        <v>85</v>
      </c>
      <c r="AC53" s="10">
        <v>187</v>
      </c>
      <c r="AD53" s="10">
        <v>282</v>
      </c>
      <c r="AE53" s="10">
        <v>615</v>
      </c>
      <c r="AF53" s="10">
        <v>38</v>
      </c>
      <c r="AG53" s="10">
        <v>115</v>
      </c>
      <c r="AH53" s="10">
        <v>31.48</v>
      </c>
      <c r="AI53" s="10">
        <v>228.04</v>
      </c>
      <c r="AJ53" s="10">
        <v>7206.32</v>
      </c>
      <c r="AK53" s="10">
        <v>16448.759999999998</v>
      </c>
      <c r="AL53" s="10">
        <v>18</v>
      </c>
      <c r="AM53" s="10">
        <v>49</v>
      </c>
      <c r="AN53" s="10">
        <v>252</v>
      </c>
      <c r="AO53" s="10">
        <v>915</v>
      </c>
      <c r="AP53" s="10">
        <v>0</v>
      </c>
      <c r="AQ53" s="10">
        <v>0</v>
      </c>
      <c r="AR53" s="10">
        <v>1107</v>
      </c>
      <c r="AS53" s="10">
        <v>2591</v>
      </c>
      <c r="AT53" s="10">
        <v>675</v>
      </c>
      <c r="AU53" s="10">
        <v>1647</v>
      </c>
      <c r="AV53" s="10">
        <v>5378</v>
      </c>
      <c r="AW53" s="10">
        <v>16967</v>
      </c>
      <c r="AX53" s="10">
        <v>126</v>
      </c>
      <c r="AY53" s="10">
        <v>354</v>
      </c>
      <c r="AZ53" s="10">
        <v>1699</v>
      </c>
      <c r="BA53" s="10">
        <v>4696</v>
      </c>
      <c r="BB53" s="10">
        <v>3498</v>
      </c>
      <c r="BC53" s="10">
        <v>10158</v>
      </c>
      <c r="BD53" s="10">
        <v>16678</v>
      </c>
      <c r="BE53" s="10">
        <v>49485</v>
      </c>
      <c r="BF53" s="10">
        <v>5361</v>
      </c>
      <c r="BG53" s="10">
        <v>16496</v>
      </c>
      <c r="BH53" s="10">
        <v>4359</v>
      </c>
      <c r="BI53" s="10">
        <v>13885</v>
      </c>
      <c r="BJ53" s="10">
        <v>1658</v>
      </c>
      <c r="BK53" s="10">
        <v>5255</v>
      </c>
      <c r="BL53" s="42">
        <f t="shared" si="7"/>
        <v>65538.38</v>
      </c>
      <c r="BM53" s="42">
        <f t="shared" si="8"/>
        <v>190671.15</v>
      </c>
    </row>
    <row r="54" spans="1:65" x14ac:dyDescent="0.25">
      <c r="A54" s="2" t="s">
        <v>277</v>
      </c>
      <c r="B54" s="9">
        <v>172</v>
      </c>
      <c r="C54" s="9">
        <v>172</v>
      </c>
      <c r="D54" s="9">
        <v>1792</v>
      </c>
      <c r="E54" s="9">
        <v>1792</v>
      </c>
      <c r="F54" s="9"/>
      <c r="G54" s="9"/>
      <c r="H54" s="9">
        <v>12206</v>
      </c>
      <c r="I54" s="9">
        <v>12206</v>
      </c>
      <c r="J54" s="9">
        <v>6506</v>
      </c>
      <c r="K54" s="9">
        <v>6506</v>
      </c>
      <c r="L54" s="9">
        <v>2829</v>
      </c>
      <c r="M54" s="9">
        <v>2829</v>
      </c>
      <c r="N54" s="9">
        <v>3363</v>
      </c>
      <c r="O54" s="9">
        <v>3363</v>
      </c>
      <c r="P54" s="9"/>
      <c r="Q54" s="9"/>
      <c r="R54" s="9">
        <v>323.48</v>
      </c>
      <c r="S54" s="9">
        <v>323.48</v>
      </c>
      <c r="T54" s="9">
        <v>4700.7299999999996</v>
      </c>
      <c r="U54" s="9">
        <v>4700.7299999999996</v>
      </c>
      <c r="V54" s="9">
        <v>24133</v>
      </c>
      <c r="W54" s="9">
        <v>24133</v>
      </c>
      <c r="X54" s="9">
        <v>22286</v>
      </c>
      <c r="Y54" s="9">
        <v>22286</v>
      </c>
      <c r="Z54" s="9">
        <v>-41</v>
      </c>
      <c r="AA54" s="9">
        <v>7420</v>
      </c>
      <c r="AB54" s="9">
        <v>944</v>
      </c>
      <c r="AC54" s="9">
        <v>944</v>
      </c>
      <c r="AD54" s="9">
        <v>1656</v>
      </c>
      <c r="AE54" s="9">
        <v>1656</v>
      </c>
      <c r="AF54" s="9">
        <v>387</v>
      </c>
      <c r="AG54" s="9">
        <v>387</v>
      </c>
      <c r="AH54" s="9">
        <v>315.86</v>
      </c>
      <c r="AI54" s="9">
        <v>315.86</v>
      </c>
      <c r="AJ54" s="9">
        <v>-1250.55</v>
      </c>
      <c r="AK54" s="9">
        <v>43486.55</v>
      </c>
      <c r="AL54" s="9">
        <v>286</v>
      </c>
      <c r="AM54" s="9">
        <v>286</v>
      </c>
      <c r="AN54" s="9">
        <v>1305</v>
      </c>
      <c r="AO54" s="9">
        <v>1305</v>
      </c>
      <c r="AP54" s="9">
        <v>5</v>
      </c>
      <c r="AQ54" s="9">
        <v>5</v>
      </c>
      <c r="AR54" s="9">
        <v>6777</v>
      </c>
      <c r="AS54" s="9">
        <v>6777</v>
      </c>
      <c r="AT54" s="9">
        <v>2395</v>
      </c>
      <c r="AU54" s="9">
        <v>2395</v>
      </c>
      <c r="AV54" s="9">
        <v>55802</v>
      </c>
      <c r="AW54" s="9">
        <v>55802</v>
      </c>
      <c r="AX54" s="9">
        <v>1450</v>
      </c>
      <c r="AY54" s="9">
        <v>1450</v>
      </c>
      <c r="AZ54" s="9">
        <v>6924</v>
      </c>
      <c r="BA54" s="9">
        <v>6924</v>
      </c>
      <c r="BB54" s="9">
        <v>20506</v>
      </c>
      <c r="BC54" s="9">
        <v>20506</v>
      </c>
      <c r="BD54" s="9">
        <v>45692</v>
      </c>
      <c r="BE54" s="9">
        <v>45692</v>
      </c>
      <c r="BF54" s="9">
        <v>-8510</v>
      </c>
      <c r="BG54" s="9">
        <v>32158</v>
      </c>
      <c r="BH54" s="9"/>
      <c r="BI54" s="9"/>
      <c r="BJ54" s="9">
        <v>6704</v>
      </c>
      <c r="BK54" s="9">
        <v>6704</v>
      </c>
      <c r="BL54" s="46">
        <f t="shared" si="7"/>
        <v>219658.52</v>
      </c>
      <c r="BM54" s="46">
        <f t="shared" si="8"/>
        <v>312524.62</v>
      </c>
    </row>
    <row r="55" spans="1:65" ht="15" customHeight="1" x14ac:dyDescent="0.25">
      <c r="A55" s="2" t="s">
        <v>278</v>
      </c>
      <c r="B55" s="9">
        <v>156</v>
      </c>
      <c r="C55" s="9">
        <v>89</v>
      </c>
      <c r="D55" s="9">
        <v>1961</v>
      </c>
      <c r="E55" s="9">
        <v>2894</v>
      </c>
      <c r="F55" s="9"/>
      <c r="G55" s="9"/>
      <c r="H55" s="9">
        <v>12498</v>
      </c>
      <c r="I55" s="9">
        <v>11795</v>
      </c>
      <c r="J55" s="9">
        <v>6541</v>
      </c>
      <c r="K55" s="9">
        <v>5657</v>
      </c>
      <c r="L55" s="9">
        <v>2812</v>
      </c>
      <c r="M55" s="9">
        <v>3254</v>
      </c>
      <c r="N55" s="9">
        <v>4681</v>
      </c>
      <c r="O55" s="9">
        <v>3443</v>
      </c>
      <c r="P55" s="9"/>
      <c r="Q55" s="9"/>
      <c r="R55" s="9">
        <v>239.99</v>
      </c>
      <c r="S55" s="9">
        <v>161.74</v>
      </c>
      <c r="T55" s="9">
        <v>3963.49</v>
      </c>
      <c r="U55" s="9">
        <v>3311.13</v>
      </c>
      <c r="V55" s="9">
        <v>-25385</v>
      </c>
      <c r="W55" s="9">
        <v>-24490</v>
      </c>
      <c r="X55" s="9">
        <v>23471</v>
      </c>
      <c r="Y55" s="9">
        <v>22789</v>
      </c>
      <c r="Z55" s="9"/>
      <c r="AA55" s="9">
        <v>6067</v>
      </c>
      <c r="AB55" s="9">
        <v>770</v>
      </c>
      <c r="AC55" s="9">
        <v>582</v>
      </c>
      <c r="AD55" s="9">
        <v>1718</v>
      </c>
      <c r="AE55" s="9">
        <v>1596</v>
      </c>
      <c r="AF55" s="9">
        <v>-332</v>
      </c>
      <c r="AG55" s="9">
        <v>-325</v>
      </c>
      <c r="AH55" s="9">
        <v>470.1</v>
      </c>
      <c r="AI55" s="9">
        <v>477.84</v>
      </c>
      <c r="AJ55" s="9"/>
      <c r="AK55" s="9">
        <v>36722.32</v>
      </c>
      <c r="AL55" s="9">
        <v>-265</v>
      </c>
      <c r="AM55" s="9">
        <v>-196</v>
      </c>
      <c r="AN55" s="9">
        <v>1260</v>
      </c>
      <c r="AO55" s="9">
        <v>1054</v>
      </c>
      <c r="AP55" s="9">
        <v>3</v>
      </c>
      <c r="AQ55" s="9">
        <v>4</v>
      </c>
      <c r="AR55" s="9">
        <v>6471</v>
      </c>
      <c r="AS55" s="9">
        <v>6343</v>
      </c>
      <c r="AT55" s="9">
        <v>2459</v>
      </c>
      <c r="AU55" s="9">
        <v>2353</v>
      </c>
      <c r="AV55" s="9">
        <v>50744</v>
      </c>
      <c r="AW55" s="9">
        <v>47417</v>
      </c>
      <c r="AX55" s="9">
        <v>1125</v>
      </c>
      <c r="AY55" s="9">
        <v>931</v>
      </c>
      <c r="AZ55" s="9">
        <v>6418</v>
      </c>
      <c r="BA55" s="9">
        <v>6613</v>
      </c>
      <c r="BB55" s="9">
        <v>17697</v>
      </c>
      <c r="BC55" s="9">
        <v>11355</v>
      </c>
      <c r="BD55" s="9">
        <v>47877</v>
      </c>
      <c r="BE55" s="9">
        <v>41335</v>
      </c>
      <c r="BF55" s="9">
        <v>0</v>
      </c>
      <c r="BG55" s="9">
        <v>22600</v>
      </c>
      <c r="BH55" s="9"/>
      <c r="BI55" s="9"/>
      <c r="BJ55" s="9">
        <v>6832</v>
      </c>
      <c r="BK55" s="9">
        <v>10123</v>
      </c>
      <c r="BL55" s="46">
        <f t="shared" si="7"/>
        <v>174185.58000000002</v>
      </c>
      <c r="BM55" s="46">
        <f t="shared" si="8"/>
        <v>223956.03</v>
      </c>
    </row>
    <row r="56" spans="1:65" s="7" customFormat="1" x14ac:dyDescent="0.25">
      <c r="A56" s="3" t="s">
        <v>279</v>
      </c>
      <c r="B56" s="10">
        <v>44</v>
      </c>
      <c r="C56" s="10">
        <v>139</v>
      </c>
      <c r="D56" s="10">
        <v>330</v>
      </c>
      <c r="E56" s="10">
        <v>733</v>
      </c>
      <c r="F56" s="10"/>
      <c r="G56" s="10"/>
      <c r="H56" s="10">
        <v>1573</v>
      </c>
      <c r="I56" s="10">
        <v>6204</v>
      </c>
      <c r="J56" s="10">
        <v>1336</v>
      </c>
      <c r="K56" s="10">
        <v>4876</v>
      </c>
      <c r="L56" s="10">
        <v>1091</v>
      </c>
      <c r="M56" s="10">
        <v>2600</v>
      </c>
      <c r="N56" s="10">
        <v>-804</v>
      </c>
      <c r="O56" s="10">
        <v>1849</v>
      </c>
      <c r="P56" s="10"/>
      <c r="Q56" s="10"/>
      <c r="R56" s="10">
        <v>160.94</v>
      </c>
      <c r="S56" s="10">
        <v>416.01</v>
      </c>
      <c r="T56" s="10">
        <v>1778.38</v>
      </c>
      <c r="U56" s="10">
        <v>4185.6899999999996</v>
      </c>
      <c r="V56" s="10">
        <v>2690</v>
      </c>
      <c r="W56" s="10">
        <v>10608</v>
      </c>
      <c r="X56" s="10">
        <v>3648</v>
      </c>
      <c r="Y56" s="10">
        <v>13502</v>
      </c>
      <c r="Z56" s="10">
        <v>1801</v>
      </c>
      <c r="AA56" s="10">
        <v>7247</v>
      </c>
      <c r="AB56" s="10">
        <v>259</v>
      </c>
      <c r="AC56" s="10">
        <v>549</v>
      </c>
      <c r="AD56" s="10">
        <v>220</v>
      </c>
      <c r="AE56" s="10">
        <v>675</v>
      </c>
      <c r="AF56" s="10">
        <v>93</v>
      </c>
      <c r="AG56" s="10">
        <v>177</v>
      </c>
      <c r="AH56" s="10">
        <v>-122.75</v>
      </c>
      <c r="AI56" s="10">
        <v>66.05</v>
      </c>
      <c r="AJ56" s="10">
        <v>5955.78</v>
      </c>
      <c r="AK56" s="10">
        <v>23212.98</v>
      </c>
      <c r="AL56" s="10">
        <v>39</v>
      </c>
      <c r="AM56" s="10">
        <v>139</v>
      </c>
      <c r="AN56" s="10">
        <v>296</v>
      </c>
      <c r="AO56" s="10">
        <v>1165</v>
      </c>
      <c r="AP56" s="10">
        <v>2</v>
      </c>
      <c r="AQ56" s="10">
        <v>1</v>
      </c>
      <c r="AR56" s="10">
        <v>1413</v>
      </c>
      <c r="AS56" s="10">
        <v>3025</v>
      </c>
      <c r="AT56" s="10">
        <v>611</v>
      </c>
      <c r="AU56" s="10">
        <v>1689</v>
      </c>
      <c r="AV56" s="10">
        <v>10436</v>
      </c>
      <c r="AW56" s="10">
        <v>25352</v>
      </c>
      <c r="AX56" s="10">
        <v>451</v>
      </c>
      <c r="AY56" s="10">
        <v>873</v>
      </c>
      <c r="AZ56" s="10">
        <v>2205</v>
      </c>
      <c r="BA56" s="10">
        <v>5007</v>
      </c>
      <c r="BB56" s="10">
        <v>6307</v>
      </c>
      <c r="BC56" s="10">
        <v>19310</v>
      </c>
      <c r="BD56" s="10">
        <v>14493</v>
      </c>
      <c r="BE56" s="10">
        <v>53843</v>
      </c>
      <c r="BF56" s="10">
        <v>-3148</v>
      </c>
      <c r="BG56" s="10">
        <v>26054</v>
      </c>
      <c r="BH56" s="10">
        <v>7984</v>
      </c>
      <c r="BI56" s="10">
        <v>21337</v>
      </c>
      <c r="BJ56" s="10">
        <v>1529</v>
      </c>
      <c r="BK56" s="10">
        <v>1835</v>
      </c>
      <c r="BL56" s="42">
        <f t="shared" si="7"/>
        <v>62671.35</v>
      </c>
      <c r="BM56" s="42">
        <f t="shared" si="8"/>
        <v>236669.72999999998</v>
      </c>
    </row>
    <row r="57" spans="1:65" x14ac:dyDescent="0.25">
      <c r="A57" s="5"/>
    </row>
    <row r="58" spans="1:65" x14ac:dyDescent="0.25">
      <c r="A58" s="18" t="s">
        <v>297</v>
      </c>
    </row>
    <row r="59" spans="1:65" x14ac:dyDescent="0.25">
      <c r="A59" s="3" t="s">
        <v>0</v>
      </c>
      <c r="B59" s="127" t="s">
        <v>1</v>
      </c>
      <c r="C59" s="128"/>
      <c r="D59" s="127" t="s">
        <v>232</v>
      </c>
      <c r="E59" s="128"/>
      <c r="F59" s="127" t="s">
        <v>2</v>
      </c>
      <c r="G59" s="128"/>
      <c r="H59" s="127" t="s">
        <v>3</v>
      </c>
      <c r="I59" s="128"/>
      <c r="J59" s="127" t="s">
        <v>241</v>
      </c>
      <c r="K59" s="128"/>
      <c r="L59" s="127" t="s">
        <v>233</v>
      </c>
      <c r="M59" s="128"/>
      <c r="N59" s="127" t="s">
        <v>244</v>
      </c>
      <c r="O59" s="128"/>
      <c r="P59" s="127" t="s">
        <v>5</v>
      </c>
      <c r="Q59" s="128"/>
      <c r="R59" s="127" t="s">
        <v>4</v>
      </c>
      <c r="S59" s="128"/>
      <c r="T59" s="127" t="s">
        <v>6</v>
      </c>
      <c r="U59" s="128"/>
      <c r="V59" s="127" t="s">
        <v>7</v>
      </c>
      <c r="W59" s="128"/>
      <c r="X59" s="127" t="s">
        <v>8</v>
      </c>
      <c r="Y59" s="128"/>
      <c r="Z59" s="127" t="s">
        <v>9</v>
      </c>
      <c r="AA59" s="128"/>
      <c r="AB59" s="127" t="s">
        <v>240</v>
      </c>
      <c r="AC59" s="128"/>
      <c r="AD59" s="127" t="s">
        <v>10</v>
      </c>
      <c r="AE59" s="128"/>
      <c r="AF59" s="127" t="s">
        <v>11</v>
      </c>
      <c r="AG59" s="128"/>
      <c r="AH59" s="127" t="s">
        <v>234</v>
      </c>
      <c r="AI59" s="128"/>
      <c r="AJ59" s="127" t="s">
        <v>12</v>
      </c>
      <c r="AK59" s="128"/>
      <c r="AL59" s="127" t="s">
        <v>235</v>
      </c>
      <c r="AM59" s="128"/>
      <c r="AN59" s="127" t="s">
        <v>293</v>
      </c>
      <c r="AO59" s="128"/>
      <c r="AP59" s="127" t="s">
        <v>236</v>
      </c>
      <c r="AQ59" s="128"/>
      <c r="AR59" s="127" t="s">
        <v>239</v>
      </c>
      <c r="AS59" s="128"/>
      <c r="AT59" s="127" t="s">
        <v>13</v>
      </c>
      <c r="AU59" s="128"/>
      <c r="AV59" s="127" t="s">
        <v>14</v>
      </c>
      <c r="AW59" s="128"/>
      <c r="AX59" s="127" t="s">
        <v>15</v>
      </c>
      <c r="AY59" s="128"/>
      <c r="AZ59" s="127" t="s">
        <v>16</v>
      </c>
      <c r="BA59" s="128"/>
      <c r="BB59" s="127" t="s">
        <v>17</v>
      </c>
      <c r="BC59" s="128"/>
      <c r="BD59" s="127" t="s">
        <v>237</v>
      </c>
      <c r="BE59" s="128"/>
      <c r="BF59" s="127" t="s">
        <v>238</v>
      </c>
      <c r="BG59" s="128"/>
      <c r="BH59" s="127" t="s">
        <v>18</v>
      </c>
      <c r="BI59" s="128"/>
      <c r="BJ59" s="127" t="s">
        <v>19</v>
      </c>
      <c r="BK59" s="128"/>
      <c r="BL59" s="129" t="s">
        <v>20</v>
      </c>
      <c r="BM59" s="130"/>
    </row>
    <row r="60" spans="1:65" ht="30" x14ac:dyDescent="0.25">
      <c r="A60" s="3"/>
      <c r="B60" s="32" t="s">
        <v>299</v>
      </c>
      <c r="C60" s="33" t="s">
        <v>298</v>
      </c>
      <c r="D60" s="32" t="s">
        <v>299</v>
      </c>
      <c r="E60" s="33" t="s">
        <v>298</v>
      </c>
      <c r="F60" s="32" t="s">
        <v>299</v>
      </c>
      <c r="G60" s="33" t="s">
        <v>298</v>
      </c>
      <c r="H60" s="32" t="s">
        <v>299</v>
      </c>
      <c r="I60" s="33" t="s">
        <v>298</v>
      </c>
      <c r="J60" s="32" t="s">
        <v>299</v>
      </c>
      <c r="K60" s="33" t="s">
        <v>298</v>
      </c>
      <c r="L60" s="32" t="s">
        <v>299</v>
      </c>
      <c r="M60" s="33" t="s">
        <v>298</v>
      </c>
      <c r="N60" s="32" t="s">
        <v>299</v>
      </c>
      <c r="O60" s="33" t="s">
        <v>298</v>
      </c>
      <c r="P60" s="32" t="s">
        <v>299</v>
      </c>
      <c r="Q60" s="33" t="s">
        <v>298</v>
      </c>
      <c r="R60" s="32" t="s">
        <v>299</v>
      </c>
      <c r="S60" s="33" t="s">
        <v>298</v>
      </c>
      <c r="T60" s="32" t="s">
        <v>299</v>
      </c>
      <c r="U60" s="33" t="s">
        <v>298</v>
      </c>
      <c r="V60" s="32" t="s">
        <v>299</v>
      </c>
      <c r="W60" s="33" t="s">
        <v>298</v>
      </c>
      <c r="X60" s="32" t="s">
        <v>299</v>
      </c>
      <c r="Y60" s="33" t="s">
        <v>298</v>
      </c>
      <c r="Z60" s="32" t="s">
        <v>299</v>
      </c>
      <c r="AA60" s="33" t="s">
        <v>298</v>
      </c>
      <c r="AB60" s="32" t="s">
        <v>299</v>
      </c>
      <c r="AC60" s="33" t="s">
        <v>298</v>
      </c>
      <c r="AD60" s="32" t="s">
        <v>299</v>
      </c>
      <c r="AE60" s="33" t="s">
        <v>298</v>
      </c>
      <c r="AF60" s="32" t="s">
        <v>299</v>
      </c>
      <c r="AG60" s="33" t="s">
        <v>298</v>
      </c>
      <c r="AH60" s="32" t="s">
        <v>299</v>
      </c>
      <c r="AI60" s="33" t="s">
        <v>298</v>
      </c>
      <c r="AJ60" s="32" t="s">
        <v>299</v>
      </c>
      <c r="AK60" s="33" t="s">
        <v>298</v>
      </c>
      <c r="AL60" s="32" t="s">
        <v>299</v>
      </c>
      <c r="AM60" s="33" t="s">
        <v>298</v>
      </c>
      <c r="AN60" s="32" t="s">
        <v>299</v>
      </c>
      <c r="AO60" s="33" t="s">
        <v>298</v>
      </c>
      <c r="AP60" s="32" t="s">
        <v>299</v>
      </c>
      <c r="AQ60" s="33" t="s">
        <v>298</v>
      </c>
      <c r="AR60" s="32" t="s">
        <v>299</v>
      </c>
      <c r="AS60" s="33" t="s">
        <v>298</v>
      </c>
      <c r="AT60" s="32" t="s">
        <v>299</v>
      </c>
      <c r="AU60" s="33" t="s">
        <v>298</v>
      </c>
      <c r="AV60" s="32" t="s">
        <v>299</v>
      </c>
      <c r="AW60" s="33" t="s">
        <v>298</v>
      </c>
      <c r="AX60" s="32" t="s">
        <v>299</v>
      </c>
      <c r="AY60" s="33" t="s">
        <v>298</v>
      </c>
      <c r="AZ60" s="32" t="s">
        <v>299</v>
      </c>
      <c r="BA60" s="33" t="s">
        <v>298</v>
      </c>
      <c r="BB60" s="32" t="s">
        <v>299</v>
      </c>
      <c r="BC60" s="33" t="s">
        <v>298</v>
      </c>
      <c r="BD60" s="32" t="s">
        <v>299</v>
      </c>
      <c r="BE60" s="33" t="s">
        <v>298</v>
      </c>
      <c r="BF60" s="32" t="s">
        <v>299</v>
      </c>
      <c r="BG60" s="33" t="s">
        <v>298</v>
      </c>
      <c r="BH60" s="32" t="s">
        <v>299</v>
      </c>
      <c r="BI60" s="33" t="s">
        <v>298</v>
      </c>
      <c r="BJ60" s="32" t="s">
        <v>299</v>
      </c>
      <c r="BK60" s="33" t="s">
        <v>298</v>
      </c>
      <c r="BL60" s="32" t="s">
        <v>299</v>
      </c>
      <c r="BM60" s="33" t="s">
        <v>298</v>
      </c>
    </row>
    <row r="61" spans="1:65" x14ac:dyDescent="0.25">
      <c r="A61" s="2" t="s">
        <v>273</v>
      </c>
      <c r="B61" s="9">
        <v>1402</v>
      </c>
      <c r="C61" s="9">
        <v>3709</v>
      </c>
      <c r="E61" s="9"/>
      <c r="F61" s="9"/>
      <c r="G61" s="9"/>
      <c r="H61" s="9">
        <v>46</v>
      </c>
      <c r="I61" s="9">
        <v>1070</v>
      </c>
      <c r="J61" s="9"/>
      <c r="K61" s="9"/>
      <c r="L61" s="9">
        <v>0</v>
      </c>
      <c r="M61" s="9">
        <v>67</v>
      </c>
      <c r="N61" s="9"/>
      <c r="O61" s="9"/>
      <c r="P61" s="9"/>
      <c r="Q61" s="9"/>
      <c r="R61" s="9"/>
      <c r="S61" s="9"/>
      <c r="T61" s="9">
        <v>39.520000000000003</v>
      </c>
      <c r="U61" s="9">
        <v>278.86</v>
      </c>
      <c r="V61" s="9"/>
      <c r="W61" s="9"/>
      <c r="X61" s="9">
        <v>948</v>
      </c>
      <c r="Y61" s="9">
        <v>1708</v>
      </c>
      <c r="Z61" s="9">
        <v>19</v>
      </c>
      <c r="AA61" s="9">
        <v>175</v>
      </c>
      <c r="AB61" s="9"/>
      <c r="AC61" s="9"/>
      <c r="AD61" s="9"/>
      <c r="AE61" s="9">
        <v>8</v>
      </c>
      <c r="AF61" s="9"/>
      <c r="AG61" s="9"/>
      <c r="AH61" s="9"/>
      <c r="AI61" s="9"/>
      <c r="AJ61" s="9">
        <v>141.84</v>
      </c>
      <c r="AK61" s="9">
        <v>486.16</v>
      </c>
      <c r="AL61" s="9"/>
      <c r="AM61" s="9"/>
      <c r="AN61" s="9"/>
      <c r="AO61" s="9"/>
      <c r="AP61" s="9">
        <v>559</v>
      </c>
      <c r="AQ61" s="9">
        <v>1791</v>
      </c>
      <c r="AR61" s="9">
        <v>18</v>
      </c>
      <c r="AS61" s="9">
        <v>40</v>
      </c>
      <c r="AT61" s="9">
        <v>16</v>
      </c>
      <c r="AU61" s="9">
        <v>32</v>
      </c>
      <c r="AV61" s="9">
        <v>140</v>
      </c>
      <c r="AW61" s="9">
        <v>874</v>
      </c>
      <c r="AX61" s="9"/>
      <c r="AY61" s="9"/>
      <c r="AZ61" s="9"/>
      <c r="BA61" s="9"/>
      <c r="BB61" s="9">
        <v>1274</v>
      </c>
      <c r="BC61" s="9">
        <v>2075</v>
      </c>
      <c r="BD61" s="9">
        <v>484</v>
      </c>
      <c r="BE61" s="9">
        <v>4369</v>
      </c>
      <c r="BF61" s="9">
        <v>542</v>
      </c>
      <c r="BG61" s="9">
        <v>925</v>
      </c>
      <c r="BH61" s="9">
        <v>672</v>
      </c>
      <c r="BI61" s="9">
        <v>1614</v>
      </c>
      <c r="BJ61" s="9"/>
      <c r="BK61" s="9"/>
      <c r="BL61" s="46">
        <f t="shared" ref="BL61:BL67" si="9">SUM(B61+D61+F61+H61+J61+L61+N61+P61+R61+T61+V61+X61+Z61+AB61+AD61+AF61+AH61+AJ61+AL61+AN61+AP61+AR61+AT61+AV61+AX61+AZ61+BB61+BD61+BF61+BH61+BJ61)</f>
        <v>6301.3600000000006</v>
      </c>
      <c r="BM61" s="46">
        <f t="shared" ref="BM61:BM67" si="10">SUM(C61+E61+G61+I61+K61+M61+O61+Q61+S61+U61+W61+Y61+AA61+AC61+AE61+AG61+AI61+AK61+AM61+AO61+AQ61+AS61+AU61+AW61+AY61+BA61+BC61+BE61+BG61+BI61+BK61)</f>
        <v>19222.02</v>
      </c>
    </row>
    <row r="62" spans="1:65" x14ac:dyDescent="0.25">
      <c r="A62" s="2" t="s">
        <v>274</v>
      </c>
      <c r="B62" s="9"/>
      <c r="C62" s="9"/>
      <c r="D62" s="9"/>
      <c r="E62" s="9"/>
      <c r="F62" s="9"/>
      <c r="G62" s="9"/>
      <c r="H62" s="9"/>
      <c r="I62" s="9">
        <v>0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>
        <v>0</v>
      </c>
      <c r="AQ62" s="9">
        <v>9</v>
      </c>
      <c r="AR62" s="9"/>
      <c r="AS62" s="9"/>
      <c r="AT62" s="9"/>
      <c r="AU62" s="9"/>
      <c r="AV62" s="9"/>
      <c r="AW62" s="9">
        <v>0</v>
      </c>
      <c r="AX62" s="9"/>
      <c r="AY62" s="9"/>
      <c r="AZ62" s="9"/>
      <c r="BA62" s="9"/>
      <c r="BB62" s="9">
        <v>6</v>
      </c>
      <c r="BC62" s="9">
        <v>1109</v>
      </c>
      <c r="BD62" s="9">
        <v>0</v>
      </c>
      <c r="BE62" s="9">
        <v>0</v>
      </c>
      <c r="BF62" s="9">
        <v>0</v>
      </c>
      <c r="BG62" s="9">
        <v>18</v>
      </c>
      <c r="BH62" s="9">
        <v>5</v>
      </c>
      <c r="BI62" s="9">
        <v>31</v>
      </c>
      <c r="BJ62" s="9"/>
      <c r="BK62" s="9"/>
      <c r="BL62" s="46">
        <f t="shared" si="9"/>
        <v>11</v>
      </c>
      <c r="BM62" s="46">
        <f t="shared" si="10"/>
        <v>1167</v>
      </c>
    </row>
    <row r="63" spans="1:65" x14ac:dyDescent="0.25">
      <c r="A63" s="2" t="s">
        <v>275</v>
      </c>
      <c r="B63" s="9">
        <v>797</v>
      </c>
      <c r="C63" s="9">
        <v>2657</v>
      </c>
      <c r="D63" s="9"/>
      <c r="E63" s="9"/>
      <c r="F63" s="9"/>
      <c r="G63" s="9"/>
      <c r="H63" s="9">
        <v>-46</v>
      </c>
      <c r="I63" s="9">
        <v>-1058</v>
      </c>
      <c r="J63" s="9"/>
      <c r="K63" s="9"/>
      <c r="L63" s="9">
        <v>0</v>
      </c>
      <c r="M63" s="9">
        <v>39</v>
      </c>
      <c r="N63" s="9"/>
      <c r="O63" s="9"/>
      <c r="P63" s="9"/>
      <c r="Q63" s="9"/>
      <c r="R63" s="9"/>
      <c r="S63" s="9"/>
      <c r="T63" s="9">
        <v>-0.81</v>
      </c>
      <c r="U63" s="9">
        <v>38.090000000000003</v>
      </c>
      <c r="V63" s="9"/>
      <c r="W63" s="9"/>
      <c r="X63" s="9">
        <v>210</v>
      </c>
      <c r="Y63" s="9">
        <v>539</v>
      </c>
      <c r="Z63" s="9">
        <v>2</v>
      </c>
      <c r="AA63" s="9">
        <v>10</v>
      </c>
      <c r="AB63" s="9"/>
      <c r="AC63" s="9"/>
      <c r="AD63" s="9"/>
      <c r="AE63" s="9">
        <v>0</v>
      </c>
      <c r="AF63" s="9"/>
      <c r="AG63" s="9"/>
      <c r="AH63" s="9"/>
      <c r="AI63" s="9"/>
      <c r="AJ63" s="9">
        <v>48.07</v>
      </c>
      <c r="AK63" s="9">
        <v>138.9</v>
      </c>
      <c r="AL63" s="9"/>
      <c r="AM63" s="9"/>
      <c r="AN63" s="9"/>
      <c r="AO63" s="9"/>
      <c r="AP63" s="9">
        <v>467</v>
      </c>
      <c r="AQ63" s="9">
        <v>1462</v>
      </c>
      <c r="AR63" s="9">
        <v>1</v>
      </c>
      <c r="AS63" s="9">
        <v>2</v>
      </c>
      <c r="AT63" s="9">
        <v>1</v>
      </c>
      <c r="AU63" s="9">
        <v>1</v>
      </c>
      <c r="AV63" s="9">
        <v>78</v>
      </c>
      <c r="AW63" s="9">
        <v>711</v>
      </c>
      <c r="AX63" s="9"/>
      <c r="AY63" s="9"/>
      <c r="AZ63" s="9"/>
      <c r="BA63" s="9"/>
      <c r="BB63" s="9">
        <v>955</v>
      </c>
      <c r="BC63" s="9">
        <v>1624</v>
      </c>
      <c r="BD63" s="9">
        <v>0</v>
      </c>
      <c r="BE63" s="9">
        <v>69</v>
      </c>
      <c r="BF63" s="9">
        <v>253</v>
      </c>
      <c r="BG63" s="9">
        <v>290</v>
      </c>
      <c r="BH63" s="9">
        <v>112</v>
      </c>
      <c r="BI63" s="9">
        <v>289</v>
      </c>
      <c r="BJ63" s="9"/>
      <c r="BK63" s="9"/>
      <c r="BL63" s="46">
        <f t="shared" si="9"/>
        <v>2877.26</v>
      </c>
      <c r="BM63" s="46">
        <f t="shared" si="10"/>
        <v>6811.99</v>
      </c>
    </row>
    <row r="64" spans="1:65" s="7" customFormat="1" x14ac:dyDescent="0.25">
      <c r="A64" s="3" t="s">
        <v>276</v>
      </c>
      <c r="B64" s="10">
        <v>606</v>
      </c>
      <c r="C64" s="10">
        <v>1051</v>
      </c>
      <c r="D64" s="10"/>
      <c r="E64" s="10"/>
      <c r="F64" s="10"/>
      <c r="G64" s="10"/>
      <c r="H64" s="10">
        <v>0</v>
      </c>
      <c r="I64" s="10">
        <v>12</v>
      </c>
      <c r="J64" s="10"/>
      <c r="K64" s="10"/>
      <c r="L64" s="10">
        <v>0</v>
      </c>
      <c r="M64" s="10">
        <v>29</v>
      </c>
      <c r="N64" s="10"/>
      <c r="O64" s="10"/>
      <c r="P64" s="10"/>
      <c r="Q64" s="10"/>
      <c r="R64" s="10"/>
      <c r="S64" s="10"/>
      <c r="T64" s="10">
        <v>40.33</v>
      </c>
      <c r="U64" s="10">
        <v>240.77</v>
      </c>
      <c r="V64" s="10"/>
      <c r="W64" s="10"/>
      <c r="X64" s="10">
        <v>738</v>
      </c>
      <c r="Y64" s="10">
        <v>1169</v>
      </c>
      <c r="Z64" s="10">
        <v>17</v>
      </c>
      <c r="AA64" s="10">
        <v>165</v>
      </c>
      <c r="AB64" s="10"/>
      <c r="AC64" s="10"/>
      <c r="AD64" s="10"/>
      <c r="AE64" s="10">
        <v>8</v>
      </c>
      <c r="AF64" s="10"/>
      <c r="AG64" s="10"/>
      <c r="AH64" s="10"/>
      <c r="AI64" s="10"/>
      <c r="AJ64" s="10">
        <v>93.77</v>
      </c>
      <c r="AK64" s="10">
        <v>347.26</v>
      </c>
      <c r="AL64" s="10"/>
      <c r="AM64" s="10"/>
      <c r="AN64" s="10"/>
      <c r="AO64" s="10"/>
      <c r="AP64" s="10">
        <v>92</v>
      </c>
      <c r="AQ64" s="10">
        <v>338</v>
      </c>
      <c r="AR64" s="10">
        <v>17</v>
      </c>
      <c r="AS64" s="10">
        <v>38</v>
      </c>
      <c r="AT64" s="10">
        <v>15</v>
      </c>
      <c r="AU64" s="10">
        <v>31</v>
      </c>
      <c r="AV64" s="10">
        <v>62</v>
      </c>
      <c r="AW64" s="10">
        <v>163</v>
      </c>
      <c r="AX64" s="10"/>
      <c r="AY64" s="10"/>
      <c r="AZ64" s="10"/>
      <c r="BA64" s="10"/>
      <c r="BB64" s="10">
        <v>326</v>
      </c>
      <c r="BC64" s="10">
        <v>1561</v>
      </c>
      <c r="BD64" s="10">
        <v>484</v>
      </c>
      <c r="BE64" s="10">
        <v>4299</v>
      </c>
      <c r="BF64" s="10">
        <v>290</v>
      </c>
      <c r="BG64" s="10">
        <v>653</v>
      </c>
      <c r="BH64" s="10">
        <v>564</v>
      </c>
      <c r="BI64" s="10">
        <v>1355</v>
      </c>
      <c r="BJ64" s="10"/>
      <c r="BK64" s="10"/>
      <c r="BL64" s="42">
        <f t="shared" si="9"/>
        <v>3345.1</v>
      </c>
      <c r="BM64" s="42">
        <f t="shared" si="10"/>
        <v>11460.029999999999</v>
      </c>
    </row>
    <row r="65" spans="1:65" x14ac:dyDescent="0.25">
      <c r="A65" s="2" t="s">
        <v>277</v>
      </c>
      <c r="B65" s="9">
        <v>328</v>
      </c>
      <c r="C65" s="9">
        <v>328</v>
      </c>
      <c r="D65" s="9"/>
      <c r="E65" s="9"/>
      <c r="F65" s="9"/>
      <c r="G65" s="9"/>
      <c r="H65" s="9">
        <v>1648</v>
      </c>
      <c r="I65" s="9">
        <v>1648</v>
      </c>
      <c r="J65" s="9"/>
      <c r="K65" s="9"/>
      <c r="L65" s="9">
        <v>241</v>
      </c>
      <c r="M65" s="9">
        <v>241</v>
      </c>
      <c r="N65" s="9">
        <v>2</v>
      </c>
      <c r="O65" s="9">
        <v>2</v>
      </c>
      <c r="P65" s="9"/>
      <c r="Q65" s="9"/>
      <c r="R65" s="9">
        <v>0.05</v>
      </c>
      <c r="S65" s="9">
        <v>0.05</v>
      </c>
      <c r="T65" s="9">
        <v>684.81</v>
      </c>
      <c r="U65" s="9">
        <v>684.81</v>
      </c>
      <c r="V65" s="9">
        <v>256</v>
      </c>
      <c r="W65" s="9">
        <v>256</v>
      </c>
      <c r="X65" s="9">
        <v>6041</v>
      </c>
      <c r="Y65" s="9">
        <v>6041</v>
      </c>
      <c r="Z65" s="9">
        <v>470</v>
      </c>
      <c r="AA65" s="9">
        <v>3124</v>
      </c>
      <c r="AB65" s="9"/>
      <c r="AC65" s="9"/>
      <c r="AD65" s="9">
        <v>853</v>
      </c>
      <c r="AE65" s="9">
        <v>853</v>
      </c>
      <c r="AF65" s="9">
        <v>18</v>
      </c>
      <c r="AG65" s="9">
        <v>18</v>
      </c>
      <c r="AH65" s="9"/>
      <c r="AI65" s="9"/>
      <c r="AJ65" s="9">
        <v>1104.17</v>
      </c>
      <c r="AK65" s="9">
        <v>5481.8</v>
      </c>
      <c r="AL65" s="9"/>
      <c r="AM65" s="9"/>
      <c r="AN65" s="9"/>
      <c r="AO65" s="9"/>
      <c r="AP65" s="9">
        <v>7389</v>
      </c>
      <c r="AQ65" s="9">
        <v>7389</v>
      </c>
      <c r="AR65" s="9">
        <v>2370</v>
      </c>
      <c r="AS65" s="9">
        <v>2370</v>
      </c>
      <c r="AT65" s="9">
        <v>176</v>
      </c>
      <c r="AU65" s="9">
        <v>176</v>
      </c>
      <c r="AV65" s="9">
        <v>2419</v>
      </c>
      <c r="AW65" s="9">
        <v>2419</v>
      </c>
      <c r="AX65" s="9">
        <v>70</v>
      </c>
      <c r="AY65" s="9">
        <v>70</v>
      </c>
      <c r="AZ65" s="9"/>
      <c r="BA65" s="9"/>
      <c r="BB65" s="9">
        <v>23580</v>
      </c>
      <c r="BC65" s="9">
        <v>23580</v>
      </c>
      <c r="BD65" s="9">
        <v>20485</v>
      </c>
      <c r="BE65" s="9">
        <v>20485</v>
      </c>
      <c r="BF65" s="9">
        <v>1070</v>
      </c>
      <c r="BG65" s="9">
        <v>8304</v>
      </c>
      <c r="BH65" s="9"/>
      <c r="BI65" s="9"/>
      <c r="BJ65" s="9">
        <v>141</v>
      </c>
      <c r="BK65" s="9">
        <v>141</v>
      </c>
      <c r="BL65" s="46">
        <f t="shared" si="9"/>
        <v>69346.03</v>
      </c>
      <c r="BM65" s="46">
        <f t="shared" si="10"/>
        <v>83611.66</v>
      </c>
    </row>
    <row r="66" spans="1:65" ht="15" customHeight="1" x14ac:dyDescent="0.25">
      <c r="A66" s="2" t="s">
        <v>278</v>
      </c>
      <c r="B66" s="9">
        <v>395</v>
      </c>
      <c r="C66" s="9">
        <v>333</v>
      </c>
      <c r="D66" s="9"/>
      <c r="E66" s="9"/>
      <c r="F66" s="9"/>
      <c r="G66" s="9"/>
      <c r="H66" s="9">
        <v>1612</v>
      </c>
      <c r="I66" s="9">
        <v>1435</v>
      </c>
      <c r="J66" s="9"/>
      <c r="K66" s="9"/>
      <c r="L66" s="9">
        <v>206</v>
      </c>
      <c r="M66" s="9">
        <v>253</v>
      </c>
      <c r="N66" s="9">
        <v>2</v>
      </c>
      <c r="O66" s="9">
        <v>1</v>
      </c>
      <c r="P66" s="9"/>
      <c r="Q66" s="9"/>
      <c r="R66" s="9">
        <v>0.05</v>
      </c>
      <c r="S66" s="9">
        <v>0.05</v>
      </c>
      <c r="T66" s="9">
        <v>854.99</v>
      </c>
      <c r="U66" s="9">
        <v>687.26</v>
      </c>
      <c r="V66" s="9">
        <v>-252</v>
      </c>
      <c r="W66" s="9">
        <v>-245</v>
      </c>
      <c r="X66" s="9">
        <v>5090</v>
      </c>
      <c r="Y66" s="9">
        <v>3897</v>
      </c>
      <c r="Z66" s="9"/>
      <c r="AA66" s="9">
        <v>2680</v>
      </c>
      <c r="AB66" s="9"/>
      <c r="AC66" s="9"/>
      <c r="AD66" s="9">
        <v>848</v>
      </c>
      <c r="AE66" s="9">
        <v>848</v>
      </c>
      <c r="AF66" s="9">
        <v>-18</v>
      </c>
      <c r="AG66" s="9">
        <v>-18</v>
      </c>
      <c r="AH66" s="9"/>
      <c r="AI66" s="9"/>
      <c r="AJ66" s="9"/>
      <c r="AK66" s="9">
        <v>4708.8599999999997</v>
      </c>
      <c r="AL66" s="9"/>
      <c r="AM66" s="9"/>
      <c r="AN66" s="9"/>
      <c r="AO66" s="9"/>
      <c r="AP66" s="9">
        <v>6943</v>
      </c>
      <c r="AQ66" s="9">
        <v>6204</v>
      </c>
      <c r="AR66" s="9">
        <v>2268</v>
      </c>
      <c r="AS66" s="9">
        <v>2135</v>
      </c>
      <c r="AT66" s="9">
        <v>169</v>
      </c>
      <c r="AU66" s="9">
        <v>60</v>
      </c>
      <c r="AV66" s="9">
        <v>1873</v>
      </c>
      <c r="AW66" s="9">
        <v>1551</v>
      </c>
      <c r="AX66" s="9">
        <v>67</v>
      </c>
      <c r="AY66" s="9">
        <v>61</v>
      </c>
      <c r="AZ66" s="9"/>
      <c r="BA66" s="9"/>
      <c r="BB66" s="9">
        <v>23580</v>
      </c>
      <c r="BC66" s="9">
        <v>23824</v>
      </c>
      <c r="BD66" s="9">
        <v>19170</v>
      </c>
      <c r="BE66" s="9">
        <v>15444</v>
      </c>
      <c r="BF66" s="9">
        <v>0</v>
      </c>
      <c r="BG66" s="9">
        <v>6327</v>
      </c>
      <c r="BH66" s="9"/>
      <c r="BI66" s="9"/>
      <c r="BJ66" s="9">
        <v>116</v>
      </c>
      <c r="BK66" s="9">
        <v>71</v>
      </c>
      <c r="BL66" s="46">
        <f t="shared" si="9"/>
        <v>62924.04</v>
      </c>
      <c r="BM66" s="46">
        <f t="shared" si="10"/>
        <v>70257.17</v>
      </c>
    </row>
    <row r="67" spans="1:65" s="7" customFormat="1" x14ac:dyDescent="0.25">
      <c r="A67" s="3" t="s">
        <v>279</v>
      </c>
      <c r="B67" s="10">
        <v>539</v>
      </c>
      <c r="C67" s="10">
        <v>1046</v>
      </c>
      <c r="D67" s="10"/>
      <c r="E67" s="10"/>
      <c r="F67" s="10"/>
      <c r="G67" s="10"/>
      <c r="H67" s="10">
        <v>37</v>
      </c>
      <c r="I67" s="10">
        <v>226</v>
      </c>
      <c r="J67" s="10"/>
      <c r="K67" s="10"/>
      <c r="L67" s="10">
        <v>35</v>
      </c>
      <c r="M67" s="10">
        <v>17</v>
      </c>
      <c r="N67" s="10"/>
      <c r="O67" s="10">
        <v>1</v>
      </c>
      <c r="P67" s="10"/>
      <c r="Q67" s="10"/>
      <c r="R67" s="10"/>
      <c r="S67" s="10"/>
      <c r="T67" s="10">
        <v>-129.86000000000001</v>
      </c>
      <c r="U67" s="10">
        <v>238.32</v>
      </c>
      <c r="V67" s="10">
        <v>4</v>
      </c>
      <c r="W67" s="10">
        <v>10</v>
      </c>
      <c r="X67" s="10">
        <v>1689</v>
      </c>
      <c r="Y67" s="10">
        <v>3313</v>
      </c>
      <c r="Z67" s="10">
        <v>487</v>
      </c>
      <c r="AA67" s="10">
        <v>609</v>
      </c>
      <c r="AB67" s="10"/>
      <c r="AC67" s="10"/>
      <c r="AD67" s="10">
        <v>6</v>
      </c>
      <c r="AE67" s="10">
        <v>13</v>
      </c>
      <c r="AF67" s="10">
        <v>0</v>
      </c>
      <c r="AG67" s="10">
        <v>0</v>
      </c>
      <c r="AH67" s="10"/>
      <c r="AI67" s="10"/>
      <c r="AJ67" s="10">
        <v>1197.95</v>
      </c>
      <c r="AK67" s="10">
        <v>1120.2</v>
      </c>
      <c r="AL67" s="10"/>
      <c r="AM67" s="10"/>
      <c r="AN67" s="10"/>
      <c r="AO67" s="10"/>
      <c r="AP67" s="10">
        <v>538</v>
      </c>
      <c r="AQ67" s="10">
        <v>1522</v>
      </c>
      <c r="AR67" s="10">
        <v>120</v>
      </c>
      <c r="AS67" s="10">
        <v>273</v>
      </c>
      <c r="AT67" s="10">
        <v>22</v>
      </c>
      <c r="AU67" s="10">
        <v>147</v>
      </c>
      <c r="AV67" s="10">
        <v>608</v>
      </c>
      <c r="AW67" s="10">
        <v>1030</v>
      </c>
      <c r="AX67" s="10">
        <v>3</v>
      </c>
      <c r="AY67" s="10">
        <v>9</v>
      </c>
      <c r="AZ67" s="10"/>
      <c r="BA67" s="10"/>
      <c r="BB67" s="10">
        <v>325</v>
      </c>
      <c r="BC67" s="10">
        <v>1316</v>
      </c>
      <c r="BD67" s="10">
        <v>1800</v>
      </c>
      <c r="BE67" s="10">
        <v>9341</v>
      </c>
      <c r="BF67" s="10">
        <v>1359</v>
      </c>
      <c r="BG67" s="10">
        <v>2630</v>
      </c>
      <c r="BH67" s="10">
        <v>2021</v>
      </c>
      <c r="BI67" s="10">
        <v>3255</v>
      </c>
      <c r="BJ67" s="10">
        <v>25</v>
      </c>
      <c r="BK67" s="10">
        <v>70</v>
      </c>
      <c r="BL67" s="42">
        <f t="shared" si="9"/>
        <v>10686.09</v>
      </c>
      <c r="BM67" s="42">
        <f t="shared" si="10"/>
        <v>26186.52</v>
      </c>
    </row>
    <row r="68" spans="1:65" x14ac:dyDescent="0.25">
      <c r="A68" s="5"/>
    </row>
    <row r="69" spans="1:65" x14ac:dyDescent="0.25">
      <c r="A69" s="18" t="s">
        <v>185</v>
      </c>
    </row>
    <row r="70" spans="1:65" x14ac:dyDescent="0.25">
      <c r="A70" s="3" t="s">
        <v>0</v>
      </c>
      <c r="B70" s="127" t="s">
        <v>1</v>
      </c>
      <c r="C70" s="128"/>
      <c r="D70" s="127" t="s">
        <v>232</v>
      </c>
      <c r="E70" s="128"/>
      <c r="F70" s="127" t="s">
        <v>2</v>
      </c>
      <c r="G70" s="128"/>
      <c r="H70" s="127" t="s">
        <v>3</v>
      </c>
      <c r="I70" s="128"/>
      <c r="J70" s="127" t="s">
        <v>241</v>
      </c>
      <c r="K70" s="128"/>
      <c r="L70" s="127" t="s">
        <v>233</v>
      </c>
      <c r="M70" s="128"/>
      <c r="N70" s="127" t="s">
        <v>244</v>
      </c>
      <c r="O70" s="128"/>
      <c r="P70" s="127" t="s">
        <v>5</v>
      </c>
      <c r="Q70" s="128"/>
      <c r="R70" s="127" t="s">
        <v>4</v>
      </c>
      <c r="S70" s="128"/>
      <c r="T70" s="127" t="s">
        <v>6</v>
      </c>
      <c r="U70" s="128"/>
      <c r="V70" s="127" t="s">
        <v>7</v>
      </c>
      <c r="W70" s="128"/>
      <c r="X70" s="127" t="s">
        <v>8</v>
      </c>
      <c r="Y70" s="128"/>
      <c r="Z70" s="127" t="s">
        <v>9</v>
      </c>
      <c r="AA70" s="128"/>
      <c r="AB70" s="127" t="s">
        <v>240</v>
      </c>
      <c r="AC70" s="128"/>
      <c r="AD70" s="127" t="s">
        <v>10</v>
      </c>
      <c r="AE70" s="128"/>
      <c r="AF70" s="127" t="s">
        <v>11</v>
      </c>
      <c r="AG70" s="128"/>
      <c r="AH70" s="127" t="s">
        <v>234</v>
      </c>
      <c r="AI70" s="128"/>
      <c r="AJ70" s="127" t="s">
        <v>12</v>
      </c>
      <c r="AK70" s="128"/>
      <c r="AL70" s="127" t="s">
        <v>235</v>
      </c>
      <c r="AM70" s="128"/>
      <c r="AN70" s="127" t="s">
        <v>293</v>
      </c>
      <c r="AO70" s="128"/>
      <c r="AP70" s="127" t="s">
        <v>236</v>
      </c>
      <c r="AQ70" s="128"/>
      <c r="AR70" s="127" t="s">
        <v>239</v>
      </c>
      <c r="AS70" s="128"/>
      <c r="AT70" s="127" t="s">
        <v>13</v>
      </c>
      <c r="AU70" s="128"/>
      <c r="AV70" s="127" t="s">
        <v>14</v>
      </c>
      <c r="AW70" s="128"/>
      <c r="AX70" s="127" t="s">
        <v>15</v>
      </c>
      <c r="AY70" s="128"/>
      <c r="AZ70" s="127" t="s">
        <v>16</v>
      </c>
      <c r="BA70" s="128"/>
      <c r="BB70" s="127" t="s">
        <v>17</v>
      </c>
      <c r="BC70" s="128"/>
      <c r="BD70" s="127" t="s">
        <v>237</v>
      </c>
      <c r="BE70" s="128"/>
      <c r="BF70" s="127" t="s">
        <v>238</v>
      </c>
      <c r="BG70" s="128"/>
      <c r="BH70" s="127" t="s">
        <v>18</v>
      </c>
      <c r="BI70" s="128"/>
      <c r="BJ70" s="127" t="s">
        <v>19</v>
      </c>
      <c r="BK70" s="128"/>
      <c r="BL70" s="129" t="s">
        <v>20</v>
      </c>
      <c r="BM70" s="130"/>
    </row>
    <row r="71" spans="1:65" ht="30" x14ac:dyDescent="0.25">
      <c r="A71" s="3"/>
      <c r="B71" s="32" t="s">
        <v>299</v>
      </c>
      <c r="C71" s="33" t="s">
        <v>298</v>
      </c>
      <c r="D71" s="32" t="s">
        <v>299</v>
      </c>
      <c r="E71" s="33" t="s">
        <v>298</v>
      </c>
      <c r="F71" s="32" t="s">
        <v>299</v>
      </c>
      <c r="G71" s="33" t="s">
        <v>298</v>
      </c>
      <c r="H71" s="32" t="s">
        <v>299</v>
      </c>
      <c r="I71" s="33" t="s">
        <v>298</v>
      </c>
      <c r="J71" s="32" t="s">
        <v>299</v>
      </c>
      <c r="K71" s="33" t="s">
        <v>298</v>
      </c>
      <c r="L71" s="32" t="s">
        <v>299</v>
      </c>
      <c r="M71" s="33" t="s">
        <v>298</v>
      </c>
      <c r="N71" s="32" t="s">
        <v>299</v>
      </c>
      <c r="O71" s="33" t="s">
        <v>298</v>
      </c>
      <c r="P71" s="32" t="s">
        <v>299</v>
      </c>
      <c r="Q71" s="33" t="s">
        <v>298</v>
      </c>
      <c r="R71" s="32" t="s">
        <v>299</v>
      </c>
      <c r="S71" s="33" t="s">
        <v>298</v>
      </c>
      <c r="T71" s="32" t="s">
        <v>299</v>
      </c>
      <c r="U71" s="33" t="s">
        <v>298</v>
      </c>
      <c r="V71" s="32" t="s">
        <v>299</v>
      </c>
      <c r="W71" s="33" t="s">
        <v>298</v>
      </c>
      <c r="X71" s="32" t="s">
        <v>299</v>
      </c>
      <c r="Y71" s="33" t="s">
        <v>298</v>
      </c>
      <c r="Z71" s="32" t="s">
        <v>299</v>
      </c>
      <c r="AA71" s="33" t="s">
        <v>298</v>
      </c>
      <c r="AB71" s="32" t="s">
        <v>299</v>
      </c>
      <c r="AC71" s="33" t="s">
        <v>298</v>
      </c>
      <c r="AD71" s="32" t="s">
        <v>299</v>
      </c>
      <c r="AE71" s="33" t="s">
        <v>298</v>
      </c>
      <c r="AF71" s="32" t="s">
        <v>299</v>
      </c>
      <c r="AG71" s="33" t="s">
        <v>298</v>
      </c>
      <c r="AH71" s="32" t="s">
        <v>299</v>
      </c>
      <c r="AI71" s="33" t="s">
        <v>298</v>
      </c>
      <c r="AJ71" s="32" t="s">
        <v>299</v>
      </c>
      <c r="AK71" s="33" t="s">
        <v>298</v>
      </c>
      <c r="AL71" s="32" t="s">
        <v>299</v>
      </c>
      <c r="AM71" s="33" t="s">
        <v>298</v>
      </c>
      <c r="AN71" s="32" t="s">
        <v>299</v>
      </c>
      <c r="AO71" s="33" t="s">
        <v>298</v>
      </c>
      <c r="AP71" s="32" t="s">
        <v>299</v>
      </c>
      <c r="AQ71" s="33" t="s">
        <v>298</v>
      </c>
      <c r="AR71" s="32" t="s">
        <v>299</v>
      </c>
      <c r="AS71" s="33" t="s">
        <v>298</v>
      </c>
      <c r="AT71" s="32" t="s">
        <v>299</v>
      </c>
      <c r="AU71" s="33" t="s">
        <v>298</v>
      </c>
      <c r="AV71" s="32" t="s">
        <v>299</v>
      </c>
      <c r="AW71" s="33" t="s">
        <v>298</v>
      </c>
      <c r="AX71" s="32" t="s">
        <v>299</v>
      </c>
      <c r="AY71" s="33" t="s">
        <v>298</v>
      </c>
      <c r="AZ71" s="32" t="s">
        <v>299</v>
      </c>
      <c r="BA71" s="33" t="s">
        <v>298</v>
      </c>
      <c r="BB71" s="32" t="s">
        <v>299</v>
      </c>
      <c r="BC71" s="33" t="s">
        <v>298</v>
      </c>
      <c r="BD71" s="32" t="s">
        <v>299</v>
      </c>
      <c r="BE71" s="33" t="s">
        <v>298</v>
      </c>
      <c r="BF71" s="32" t="s">
        <v>299</v>
      </c>
      <c r="BG71" s="33" t="s">
        <v>298</v>
      </c>
      <c r="BH71" s="32" t="s">
        <v>299</v>
      </c>
      <c r="BI71" s="33" t="s">
        <v>298</v>
      </c>
      <c r="BJ71" s="32" t="s">
        <v>299</v>
      </c>
      <c r="BK71" s="33" t="s">
        <v>298</v>
      </c>
      <c r="BL71" s="32" t="s">
        <v>299</v>
      </c>
      <c r="BM71" s="33" t="s">
        <v>298</v>
      </c>
    </row>
    <row r="72" spans="1:65" x14ac:dyDescent="0.25">
      <c r="A72" s="2" t="s">
        <v>273</v>
      </c>
      <c r="B72" s="9"/>
      <c r="C72" s="9"/>
      <c r="D72" s="9"/>
      <c r="E72" s="9"/>
      <c r="F72" s="9"/>
      <c r="G72" s="9"/>
      <c r="H72" s="9">
        <v>958</v>
      </c>
      <c r="I72" s="9">
        <v>3245</v>
      </c>
      <c r="J72" s="9"/>
      <c r="K72" s="9"/>
      <c r="L72" s="9">
        <v>187</v>
      </c>
      <c r="M72" s="9">
        <v>853</v>
      </c>
      <c r="N72" s="9">
        <v>75</v>
      </c>
      <c r="O72" s="9">
        <v>490</v>
      </c>
      <c r="P72" s="9"/>
      <c r="Q72" s="9"/>
      <c r="R72" s="9">
        <v>130.51</v>
      </c>
      <c r="S72" s="9">
        <v>174.47</v>
      </c>
      <c r="T72" s="9">
        <v>865</v>
      </c>
      <c r="U72" s="9">
        <v>2616.21</v>
      </c>
      <c r="V72" s="9">
        <v>2428</v>
      </c>
      <c r="W72" s="9">
        <v>6503</v>
      </c>
      <c r="X72" s="9">
        <v>5510</v>
      </c>
      <c r="Y72" s="9">
        <v>14333</v>
      </c>
      <c r="Z72" s="9">
        <v>1189</v>
      </c>
      <c r="AA72" s="9">
        <v>3268</v>
      </c>
      <c r="AB72" s="9">
        <v>45</v>
      </c>
      <c r="AC72" s="9">
        <v>72</v>
      </c>
      <c r="AD72" s="9">
        <v>435</v>
      </c>
      <c r="AE72" s="9">
        <v>1195</v>
      </c>
      <c r="AF72" s="9">
        <v>2</v>
      </c>
      <c r="AG72" s="9">
        <v>28</v>
      </c>
      <c r="AH72" s="9"/>
      <c r="AI72" s="9"/>
      <c r="AJ72" s="9">
        <v>2008.13</v>
      </c>
      <c r="AK72" s="9">
        <v>7283.1</v>
      </c>
      <c r="AL72" s="9"/>
      <c r="AM72" s="9"/>
      <c r="AN72" s="9"/>
      <c r="AO72" s="9"/>
      <c r="AP72" s="9">
        <v>8</v>
      </c>
      <c r="AQ72" s="9">
        <v>57</v>
      </c>
      <c r="AR72" s="9">
        <v>1805</v>
      </c>
      <c r="AS72" s="9">
        <v>3377</v>
      </c>
      <c r="AT72" s="9">
        <v>783</v>
      </c>
      <c r="AU72" s="9">
        <v>1586</v>
      </c>
      <c r="AV72" s="9">
        <v>369</v>
      </c>
      <c r="AW72" s="9">
        <v>1326</v>
      </c>
      <c r="AX72" s="9">
        <v>77</v>
      </c>
      <c r="AY72" s="9">
        <v>440</v>
      </c>
      <c r="AZ72" s="9"/>
      <c r="BA72" s="9"/>
      <c r="BB72" s="9">
        <v>571</v>
      </c>
      <c r="BC72" s="9">
        <v>2444</v>
      </c>
      <c r="BD72" s="9">
        <v>6255</v>
      </c>
      <c r="BE72" s="9">
        <v>18188</v>
      </c>
      <c r="BF72" s="9">
        <v>2998</v>
      </c>
      <c r="BG72" s="9">
        <v>8122</v>
      </c>
      <c r="BH72" s="9">
        <v>3027</v>
      </c>
      <c r="BI72" s="9">
        <v>12336</v>
      </c>
      <c r="BJ72" s="9">
        <v>166</v>
      </c>
      <c r="BK72" s="9">
        <v>438</v>
      </c>
      <c r="BL72" s="46">
        <f t="shared" ref="BL72:BL78" si="11">SUM(B72+D72+F72+H72+J72+L72+N72+P72+R72+T72+V72+X72+Z72+AB72+AD72+AF72+AH72+AJ72+AL72+AN72+AP72+AR72+AT72+AV72+AX72+AZ72+BB72+BD72+BF72+BH72+BJ72)</f>
        <v>29891.64</v>
      </c>
      <c r="BM72" s="46">
        <f t="shared" ref="BM72:BM78" si="12">SUM(C72+E72+G72+I72+K72+M72+O72+Q72+S72+U72+W72+Y72+AA72+AC72+AE72+AG72+AI72+AK72+AM72+AO72+AQ72+AS72+AU72+AW72+AY72+BA72+BC72+BE72+BG72+BI72+BK72)</f>
        <v>88374.78</v>
      </c>
    </row>
    <row r="73" spans="1:65" x14ac:dyDescent="0.25">
      <c r="A73" s="2" t="s">
        <v>274</v>
      </c>
      <c r="B73" s="9"/>
      <c r="C73" s="9"/>
      <c r="D73" s="9"/>
      <c r="E73" s="9"/>
      <c r="F73" s="9"/>
      <c r="G73" s="9"/>
      <c r="H73" s="9">
        <v>6</v>
      </c>
      <c r="I73" s="9">
        <v>15</v>
      </c>
      <c r="J73" s="9"/>
      <c r="K73" s="9"/>
      <c r="L73" s="9">
        <v>2</v>
      </c>
      <c r="M73" s="9">
        <v>2</v>
      </c>
      <c r="N73" s="9">
        <v>12</v>
      </c>
      <c r="O73" s="9">
        <v>13</v>
      </c>
      <c r="P73" s="9"/>
      <c r="Q73" s="9"/>
      <c r="R73" s="9">
        <v>0.4</v>
      </c>
      <c r="S73" s="9">
        <v>0.49</v>
      </c>
      <c r="T73" s="9">
        <v>20.92</v>
      </c>
      <c r="U73" s="9">
        <v>36.729999999999997</v>
      </c>
      <c r="V73" s="9">
        <v>2</v>
      </c>
      <c r="W73" s="9">
        <v>193</v>
      </c>
      <c r="X73" s="9">
        <v>362</v>
      </c>
      <c r="Y73" s="9">
        <v>368</v>
      </c>
      <c r="Z73" s="9">
        <v>3</v>
      </c>
      <c r="AA73" s="9">
        <v>4</v>
      </c>
      <c r="AB73" s="9">
        <v>0</v>
      </c>
      <c r="AC73" s="9">
        <v>0</v>
      </c>
      <c r="AD73" s="9">
        <v>1</v>
      </c>
      <c r="AE73" s="9">
        <v>1</v>
      </c>
      <c r="AF73" s="9">
        <v>1</v>
      </c>
      <c r="AG73" s="9">
        <v>2</v>
      </c>
      <c r="AH73" s="9"/>
      <c r="AI73" s="9"/>
      <c r="AJ73" s="9">
        <v>297.39999999999998</v>
      </c>
      <c r="AK73" s="9">
        <v>416.42</v>
      </c>
      <c r="AL73" s="9"/>
      <c r="AM73" s="9"/>
      <c r="AN73" s="9"/>
      <c r="AO73" s="9"/>
      <c r="AP73" s="9">
        <v>17</v>
      </c>
      <c r="AQ73" s="9">
        <v>33</v>
      </c>
      <c r="AR73" s="9">
        <v>32</v>
      </c>
      <c r="AS73" s="9">
        <v>35</v>
      </c>
      <c r="AT73" s="9">
        <v>5</v>
      </c>
      <c r="AU73" s="9">
        <v>55</v>
      </c>
      <c r="AV73" s="9">
        <v>1</v>
      </c>
      <c r="AW73" s="9">
        <v>1</v>
      </c>
      <c r="AX73" s="9"/>
      <c r="AY73" s="9">
        <v>0</v>
      </c>
      <c r="AZ73" s="9"/>
      <c r="BA73" s="9"/>
      <c r="BB73" s="9">
        <v>5</v>
      </c>
      <c r="BC73" s="9">
        <v>35</v>
      </c>
      <c r="BD73" s="9">
        <v>349</v>
      </c>
      <c r="BE73" s="9">
        <v>1364</v>
      </c>
      <c r="BF73" s="9">
        <v>470</v>
      </c>
      <c r="BG73" s="9">
        <v>4170</v>
      </c>
      <c r="BH73" s="9">
        <v>402</v>
      </c>
      <c r="BI73" s="9">
        <v>739</v>
      </c>
      <c r="BJ73" s="9">
        <v>0</v>
      </c>
      <c r="BK73" s="9">
        <v>0</v>
      </c>
      <c r="BL73" s="46">
        <f t="shared" si="11"/>
        <v>1988.72</v>
      </c>
      <c r="BM73" s="46">
        <f t="shared" si="12"/>
        <v>7483.64</v>
      </c>
    </row>
    <row r="74" spans="1:65" x14ac:dyDescent="0.25">
      <c r="A74" s="2" t="s">
        <v>275</v>
      </c>
      <c r="B74" s="9"/>
      <c r="C74" s="9"/>
      <c r="D74" s="9"/>
      <c r="E74" s="9"/>
      <c r="F74" s="9"/>
      <c r="G74" s="9"/>
      <c r="H74" s="9">
        <v>-628</v>
      </c>
      <c r="I74" s="9">
        <v>-2353</v>
      </c>
      <c r="J74" s="9"/>
      <c r="K74" s="9"/>
      <c r="L74" s="9">
        <v>78</v>
      </c>
      <c r="M74" s="9">
        <v>483</v>
      </c>
      <c r="N74" s="9">
        <v>74</v>
      </c>
      <c r="O74" s="9">
        <v>432</v>
      </c>
      <c r="P74" s="9"/>
      <c r="Q74" s="9"/>
      <c r="R74" s="9">
        <v>116.74</v>
      </c>
      <c r="S74" s="9">
        <v>152.65</v>
      </c>
      <c r="T74" s="9">
        <v>786.37</v>
      </c>
      <c r="U74" s="9">
        <v>2327.19</v>
      </c>
      <c r="V74" s="9">
        <v>-1712</v>
      </c>
      <c r="W74" s="9">
        <v>-4342</v>
      </c>
      <c r="X74" s="9">
        <v>3510</v>
      </c>
      <c r="Y74" s="9">
        <v>8197</v>
      </c>
      <c r="Z74" s="9">
        <v>947</v>
      </c>
      <c r="AA74" s="9">
        <v>2636</v>
      </c>
      <c r="AB74" s="9">
        <v>33</v>
      </c>
      <c r="AC74" s="9">
        <v>50</v>
      </c>
      <c r="AD74" s="9">
        <v>249</v>
      </c>
      <c r="AE74" s="9">
        <v>671</v>
      </c>
      <c r="AF74" s="9">
        <v>-1</v>
      </c>
      <c r="AG74" s="9">
        <v>-25</v>
      </c>
      <c r="AH74" s="9"/>
      <c r="AI74" s="9"/>
      <c r="AJ74" s="9">
        <v>354.35</v>
      </c>
      <c r="AK74" s="9">
        <v>1574.52</v>
      </c>
      <c r="AL74" s="9"/>
      <c r="AM74" s="9"/>
      <c r="AN74" s="9"/>
      <c r="AO74" s="9"/>
      <c r="AP74" s="9">
        <v>19</v>
      </c>
      <c r="AQ74" s="9">
        <v>68</v>
      </c>
      <c r="AR74" s="9">
        <v>1080</v>
      </c>
      <c r="AS74" s="9">
        <v>1998</v>
      </c>
      <c r="AT74" s="9">
        <v>712</v>
      </c>
      <c r="AU74" s="9">
        <v>1473</v>
      </c>
      <c r="AV74" s="9">
        <v>180</v>
      </c>
      <c r="AW74" s="9">
        <v>611</v>
      </c>
      <c r="AX74" s="9">
        <v>20</v>
      </c>
      <c r="AY74" s="9">
        <v>50</v>
      </c>
      <c r="AZ74" s="9"/>
      <c r="BA74" s="9"/>
      <c r="BB74" s="9">
        <v>452</v>
      </c>
      <c r="BC74" s="9">
        <v>2064</v>
      </c>
      <c r="BD74" s="9">
        <v>1722</v>
      </c>
      <c r="BE74" s="9">
        <v>5358</v>
      </c>
      <c r="BF74" s="9">
        <v>774</v>
      </c>
      <c r="BG74" s="9">
        <v>1705</v>
      </c>
      <c r="BH74" s="9">
        <v>844</v>
      </c>
      <c r="BI74" s="9">
        <v>2692</v>
      </c>
      <c r="BJ74" s="9">
        <v>160</v>
      </c>
      <c r="BK74" s="9">
        <v>406</v>
      </c>
      <c r="BL74" s="46">
        <f t="shared" si="11"/>
        <v>9770.4599999999991</v>
      </c>
      <c r="BM74" s="46">
        <f t="shared" si="12"/>
        <v>26228.36</v>
      </c>
    </row>
    <row r="75" spans="1:65" s="7" customFormat="1" x14ac:dyDescent="0.25">
      <c r="A75" s="3" t="s">
        <v>276</v>
      </c>
      <c r="B75" s="10"/>
      <c r="C75" s="10"/>
      <c r="D75" s="10"/>
      <c r="E75" s="10"/>
      <c r="F75" s="10"/>
      <c r="G75" s="10"/>
      <c r="H75" s="10">
        <v>336</v>
      </c>
      <c r="I75" s="10">
        <v>907</v>
      </c>
      <c r="J75" s="10"/>
      <c r="K75" s="10"/>
      <c r="L75" s="10">
        <v>110</v>
      </c>
      <c r="M75" s="10">
        <v>372</v>
      </c>
      <c r="N75" s="10">
        <v>13</v>
      </c>
      <c r="O75" s="10">
        <v>71</v>
      </c>
      <c r="P75" s="10"/>
      <c r="Q75" s="10"/>
      <c r="R75" s="10">
        <v>14.17</v>
      </c>
      <c r="S75" s="10">
        <v>22.31</v>
      </c>
      <c r="T75" s="10">
        <v>99.55</v>
      </c>
      <c r="U75" s="10">
        <v>325.74</v>
      </c>
      <c r="V75" s="10">
        <v>717</v>
      </c>
      <c r="W75" s="10">
        <v>2353</v>
      </c>
      <c r="X75" s="10">
        <v>2362</v>
      </c>
      <c r="Y75" s="10">
        <v>6504</v>
      </c>
      <c r="Z75" s="10">
        <v>245</v>
      </c>
      <c r="AA75" s="10">
        <v>636</v>
      </c>
      <c r="AB75" s="10">
        <v>13</v>
      </c>
      <c r="AC75" s="10">
        <v>23</v>
      </c>
      <c r="AD75" s="10">
        <v>187</v>
      </c>
      <c r="AE75" s="10">
        <v>526</v>
      </c>
      <c r="AF75" s="10">
        <v>1</v>
      </c>
      <c r="AG75" s="10">
        <v>6</v>
      </c>
      <c r="AH75" s="10"/>
      <c r="AI75" s="10"/>
      <c r="AJ75" s="10">
        <v>1951.18</v>
      </c>
      <c r="AK75" s="10">
        <v>6125</v>
      </c>
      <c r="AL75" s="10"/>
      <c r="AM75" s="10"/>
      <c r="AN75" s="10"/>
      <c r="AO75" s="10"/>
      <c r="AP75" s="10">
        <v>6</v>
      </c>
      <c r="AQ75" s="10">
        <v>22</v>
      </c>
      <c r="AR75" s="10">
        <v>757</v>
      </c>
      <c r="AS75" s="10">
        <v>1414</v>
      </c>
      <c r="AT75" s="10">
        <v>76</v>
      </c>
      <c r="AU75" s="10">
        <v>168</v>
      </c>
      <c r="AV75" s="10">
        <v>190</v>
      </c>
      <c r="AW75" s="10">
        <v>716</v>
      </c>
      <c r="AX75" s="10">
        <v>57</v>
      </c>
      <c r="AY75" s="10">
        <v>390</v>
      </c>
      <c r="AZ75" s="10"/>
      <c r="BA75" s="10"/>
      <c r="BB75" s="10">
        <v>124</v>
      </c>
      <c r="BC75" s="10">
        <v>415</v>
      </c>
      <c r="BD75" s="10">
        <v>4881</v>
      </c>
      <c r="BE75" s="10">
        <v>14194</v>
      </c>
      <c r="BF75" s="10">
        <v>2694</v>
      </c>
      <c r="BG75" s="10">
        <v>10586</v>
      </c>
      <c r="BH75" s="10">
        <v>2585</v>
      </c>
      <c r="BI75" s="10">
        <v>10382</v>
      </c>
      <c r="BJ75" s="10">
        <v>6</v>
      </c>
      <c r="BK75" s="10">
        <v>32</v>
      </c>
      <c r="BL75" s="42">
        <f t="shared" si="11"/>
        <v>17424.900000000001</v>
      </c>
      <c r="BM75" s="42">
        <f t="shared" si="12"/>
        <v>56190.05</v>
      </c>
    </row>
    <row r="76" spans="1:65" x14ac:dyDescent="0.25">
      <c r="A76" s="2" t="s">
        <v>277</v>
      </c>
      <c r="B76" s="9"/>
      <c r="C76" s="9"/>
      <c r="D76" s="9"/>
      <c r="E76" s="9"/>
      <c r="F76" s="9"/>
      <c r="G76" s="9"/>
      <c r="H76" s="9">
        <v>1890</v>
      </c>
      <c r="I76" s="9">
        <v>1890</v>
      </c>
      <c r="J76" s="9"/>
      <c r="K76" s="9"/>
      <c r="L76" s="9">
        <v>546</v>
      </c>
      <c r="M76" s="9">
        <v>546</v>
      </c>
      <c r="N76" s="9">
        <v>441</v>
      </c>
      <c r="O76" s="9">
        <v>441</v>
      </c>
      <c r="P76" s="9"/>
      <c r="Q76" s="9"/>
      <c r="R76" s="9">
        <v>182.46</v>
      </c>
      <c r="S76" s="9">
        <v>182.46</v>
      </c>
      <c r="T76" s="9">
        <v>1619.07</v>
      </c>
      <c r="U76" s="9">
        <v>1619.07</v>
      </c>
      <c r="V76" s="9">
        <v>4959</v>
      </c>
      <c r="W76" s="9">
        <v>4959</v>
      </c>
      <c r="X76" s="9">
        <v>17213</v>
      </c>
      <c r="Y76" s="9">
        <v>17213</v>
      </c>
      <c r="Z76" s="9">
        <v>-12</v>
      </c>
      <c r="AA76" s="9">
        <v>1896</v>
      </c>
      <c r="AB76" s="9">
        <v>53</v>
      </c>
      <c r="AC76" s="9">
        <v>53</v>
      </c>
      <c r="AD76" s="9">
        <v>457</v>
      </c>
      <c r="AE76" s="9">
        <v>457</v>
      </c>
      <c r="AF76" s="9">
        <v>189</v>
      </c>
      <c r="AG76" s="9">
        <v>189</v>
      </c>
      <c r="AH76" s="9"/>
      <c r="AI76" s="9"/>
      <c r="AJ76" s="9">
        <v>-755.29</v>
      </c>
      <c r="AK76" s="9">
        <v>21228.67</v>
      </c>
      <c r="AL76" s="9">
        <v>1</v>
      </c>
      <c r="AM76" s="9">
        <v>1</v>
      </c>
      <c r="AN76" s="9"/>
      <c r="AO76" s="9"/>
      <c r="AP76" s="9">
        <v>119</v>
      </c>
      <c r="AQ76" s="9">
        <v>119</v>
      </c>
      <c r="AR76" s="9">
        <v>3591</v>
      </c>
      <c r="AS76" s="9">
        <v>3591</v>
      </c>
      <c r="AT76" s="9">
        <v>1251</v>
      </c>
      <c r="AU76" s="9">
        <v>1251</v>
      </c>
      <c r="AV76" s="9">
        <v>1716</v>
      </c>
      <c r="AW76" s="9">
        <v>1716</v>
      </c>
      <c r="AX76" s="9">
        <v>1013</v>
      </c>
      <c r="AY76" s="9">
        <v>1013</v>
      </c>
      <c r="AZ76" s="9"/>
      <c r="BA76" s="9"/>
      <c r="BB76" s="9">
        <v>2300</v>
      </c>
      <c r="BC76" s="9">
        <v>2300</v>
      </c>
      <c r="BD76" s="9">
        <v>77244</v>
      </c>
      <c r="BE76" s="9">
        <v>77244</v>
      </c>
      <c r="BF76" s="9">
        <v>-1988</v>
      </c>
      <c r="BG76" s="9">
        <v>36314</v>
      </c>
      <c r="BH76" s="9"/>
      <c r="BI76" s="9"/>
      <c r="BJ76" s="9">
        <v>246</v>
      </c>
      <c r="BK76" s="9">
        <v>246</v>
      </c>
      <c r="BL76" s="46">
        <f t="shared" si="11"/>
        <v>112275.23999999999</v>
      </c>
      <c r="BM76" s="46">
        <f t="shared" si="12"/>
        <v>174469.2</v>
      </c>
    </row>
    <row r="77" spans="1:65" ht="15" customHeight="1" x14ac:dyDescent="0.25">
      <c r="A77" s="2" t="s">
        <v>278</v>
      </c>
      <c r="B77" s="9"/>
      <c r="C77" s="9"/>
      <c r="D77" s="9"/>
      <c r="E77" s="9"/>
      <c r="F77" s="9"/>
      <c r="G77" s="9"/>
      <c r="H77" s="9">
        <v>1840</v>
      </c>
      <c r="I77" s="9">
        <v>1785</v>
      </c>
      <c r="J77" s="9"/>
      <c r="K77" s="9"/>
      <c r="L77" s="9">
        <v>551</v>
      </c>
      <c r="M77" s="9">
        <v>612</v>
      </c>
      <c r="N77" s="9">
        <v>447</v>
      </c>
      <c r="O77" s="9">
        <v>127</v>
      </c>
      <c r="P77" s="9"/>
      <c r="Q77" s="9"/>
      <c r="R77" s="9">
        <v>170.39</v>
      </c>
      <c r="S77" s="9">
        <v>134.38999999999999</v>
      </c>
      <c r="T77" s="9">
        <v>1624.22</v>
      </c>
      <c r="U77" s="9">
        <v>1306.5999999999999</v>
      </c>
      <c r="V77" s="9">
        <v>-4776</v>
      </c>
      <c r="W77" s="9">
        <v>-4554</v>
      </c>
      <c r="X77" s="9">
        <v>16635</v>
      </c>
      <c r="Y77" s="9">
        <v>14484</v>
      </c>
      <c r="Z77" s="9"/>
      <c r="AA77" s="9">
        <v>1653</v>
      </c>
      <c r="AB77" s="9">
        <v>45</v>
      </c>
      <c r="AC77" s="9">
        <v>27</v>
      </c>
      <c r="AD77" s="9">
        <v>529</v>
      </c>
      <c r="AE77" s="9">
        <v>584</v>
      </c>
      <c r="AF77" s="9">
        <v>-186</v>
      </c>
      <c r="AG77" s="9">
        <v>-224</v>
      </c>
      <c r="AH77" s="9"/>
      <c r="AI77" s="9"/>
      <c r="AJ77" s="9"/>
      <c r="AK77" s="9">
        <v>23553.31</v>
      </c>
      <c r="AL77" s="9">
        <v>-1</v>
      </c>
      <c r="AM77" s="9">
        <v>-1</v>
      </c>
      <c r="AN77" s="9"/>
      <c r="AO77" s="9"/>
      <c r="AP77" s="9">
        <v>126</v>
      </c>
      <c r="AQ77" s="9">
        <v>100</v>
      </c>
      <c r="AR77" s="9">
        <v>3764</v>
      </c>
      <c r="AS77" s="9">
        <v>3175</v>
      </c>
      <c r="AT77" s="9">
        <v>1363</v>
      </c>
      <c r="AU77" s="9">
        <v>855</v>
      </c>
      <c r="AV77" s="9">
        <v>1492</v>
      </c>
      <c r="AW77" s="9">
        <v>1606</v>
      </c>
      <c r="AX77" s="9">
        <v>1051</v>
      </c>
      <c r="AY77" s="9">
        <v>1349</v>
      </c>
      <c r="AZ77" s="9"/>
      <c r="BA77" s="9"/>
      <c r="BB77" s="9">
        <v>2155</v>
      </c>
      <c r="BC77" s="9">
        <v>1253</v>
      </c>
      <c r="BD77" s="9">
        <v>79917</v>
      </c>
      <c r="BE77" s="9">
        <v>68514</v>
      </c>
      <c r="BF77" s="9">
        <v>0</v>
      </c>
      <c r="BG77" s="9">
        <v>39573</v>
      </c>
      <c r="BH77" s="9"/>
      <c r="BI77" s="9"/>
      <c r="BJ77" s="9">
        <v>254</v>
      </c>
      <c r="BK77" s="9">
        <v>297</v>
      </c>
      <c r="BL77" s="46">
        <f t="shared" si="11"/>
        <v>107000.61</v>
      </c>
      <c r="BM77" s="46">
        <f t="shared" si="12"/>
        <v>156209.29999999999</v>
      </c>
    </row>
    <row r="78" spans="1:65" s="7" customFormat="1" x14ac:dyDescent="0.25">
      <c r="A78" s="3" t="s">
        <v>279</v>
      </c>
      <c r="B78" s="10"/>
      <c r="C78" s="10"/>
      <c r="D78" s="10"/>
      <c r="E78" s="10"/>
      <c r="F78" s="10"/>
      <c r="G78" s="10"/>
      <c r="H78" s="10">
        <v>386</v>
      </c>
      <c r="I78" s="10">
        <v>1011</v>
      </c>
      <c r="J78" s="10"/>
      <c r="K78" s="10"/>
      <c r="L78" s="10">
        <v>105</v>
      </c>
      <c r="M78" s="10">
        <v>305</v>
      </c>
      <c r="N78" s="10">
        <v>7</v>
      </c>
      <c r="O78" s="10">
        <v>385</v>
      </c>
      <c r="P78" s="10"/>
      <c r="Q78" s="10"/>
      <c r="R78" s="10">
        <v>26.24</v>
      </c>
      <c r="S78" s="10">
        <v>70.38</v>
      </c>
      <c r="T78" s="10">
        <v>94.4</v>
      </c>
      <c r="U78" s="10">
        <v>638.22</v>
      </c>
      <c r="V78" s="10">
        <v>900</v>
      </c>
      <c r="W78" s="10">
        <v>2758</v>
      </c>
      <c r="X78" s="10">
        <v>2940</v>
      </c>
      <c r="Y78" s="10">
        <v>9233</v>
      </c>
      <c r="Z78" s="10">
        <v>233</v>
      </c>
      <c r="AA78" s="10">
        <v>879</v>
      </c>
      <c r="AB78" s="10">
        <v>20</v>
      </c>
      <c r="AC78" s="10">
        <v>48</v>
      </c>
      <c r="AD78" s="10">
        <v>116</v>
      </c>
      <c r="AE78" s="10">
        <v>399</v>
      </c>
      <c r="AF78" s="10">
        <v>3</v>
      </c>
      <c r="AG78" s="10">
        <v>-30</v>
      </c>
      <c r="AH78" s="10"/>
      <c r="AI78" s="10"/>
      <c r="AJ78" s="10">
        <v>1195.8800000000001</v>
      </c>
      <c r="AK78" s="10">
        <v>3800.36</v>
      </c>
      <c r="AL78" s="10"/>
      <c r="AM78" s="10"/>
      <c r="AN78" s="10"/>
      <c r="AO78" s="10"/>
      <c r="AP78" s="10">
        <v>-1</v>
      </c>
      <c r="AQ78" s="10">
        <v>40</v>
      </c>
      <c r="AR78" s="10">
        <v>584</v>
      </c>
      <c r="AS78" s="10">
        <v>1831</v>
      </c>
      <c r="AT78" s="10">
        <v>-36</v>
      </c>
      <c r="AU78" s="10">
        <v>563</v>
      </c>
      <c r="AV78" s="10">
        <v>414</v>
      </c>
      <c r="AW78" s="10">
        <v>826</v>
      </c>
      <c r="AX78" s="10">
        <v>19</v>
      </c>
      <c r="AY78" s="10">
        <v>54</v>
      </c>
      <c r="AZ78" s="10"/>
      <c r="BA78" s="10"/>
      <c r="BB78" s="10">
        <v>269</v>
      </c>
      <c r="BC78" s="10">
        <v>1463</v>
      </c>
      <c r="BD78" s="10">
        <v>2209</v>
      </c>
      <c r="BE78" s="10">
        <v>22924</v>
      </c>
      <c r="BF78" s="10">
        <v>705</v>
      </c>
      <c r="BG78" s="10">
        <v>7327</v>
      </c>
      <c r="BH78" s="10">
        <v>2543</v>
      </c>
      <c r="BI78" s="10">
        <v>11903</v>
      </c>
      <c r="BJ78" s="10">
        <v>-3</v>
      </c>
      <c r="BK78" s="10">
        <v>-19</v>
      </c>
      <c r="BL78" s="42">
        <f t="shared" si="11"/>
        <v>12729.52</v>
      </c>
      <c r="BM78" s="42">
        <f t="shared" si="12"/>
        <v>66408.959999999992</v>
      </c>
    </row>
    <row r="79" spans="1:65" x14ac:dyDescent="0.25">
      <c r="A79" s="5"/>
    </row>
    <row r="80" spans="1:65" x14ac:dyDescent="0.25">
      <c r="A80" s="18" t="s">
        <v>188</v>
      </c>
    </row>
    <row r="81" spans="1:65" x14ac:dyDescent="0.25">
      <c r="A81" s="3" t="s">
        <v>0</v>
      </c>
      <c r="B81" s="127" t="s">
        <v>1</v>
      </c>
      <c r="C81" s="128"/>
      <c r="D81" s="127" t="s">
        <v>232</v>
      </c>
      <c r="E81" s="128"/>
      <c r="F81" s="127" t="s">
        <v>2</v>
      </c>
      <c r="G81" s="128"/>
      <c r="H81" s="127" t="s">
        <v>3</v>
      </c>
      <c r="I81" s="128"/>
      <c r="J81" s="127" t="s">
        <v>241</v>
      </c>
      <c r="K81" s="128"/>
      <c r="L81" s="127" t="s">
        <v>233</v>
      </c>
      <c r="M81" s="128"/>
      <c r="N81" s="127" t="s">
        <v>244</v>
      </c>
      <c r="O81" s="128"/>
      <c r="P81" s="127" t="s">
        <v>5</v>
      </c>
      <c r="Q81" s="128"/>
      <c r="R81" s="127" t="s">
        <v>4</v>
      </c>
      <c r="S81" s="128"/>
      <c r="T81" s="127" t="s">
        <v>6</v>
      </c>
      <c r="U81" s="128"/>
      <c r="V81" s="127" t="s">
        <v>7</v>
      </c>
      <c r="W81" s="128"/>
      <c r="X81" s="127" t="s">
        <v>8</v>
      </c>
      <c r="Y81" s="128"/>
      <c r="Z81" s="127" t="s">
        <v>9</v>
      </c>
      <c r="AA81" s="128"/>
      <c r="AB81" s="127" t="s">
        <v>240</v>
      </c>
      <c r="AC81" s="128"/>
      <c r="AD81" s="127" t="s">
        <v>10</v>
      </c>
      <c r="AE81" s="128"/>
      <c r="AF81" s="127" t="s">
        <v>11</v>
      </c>
      <c r="AG81" s="128"/>
      <c r="AH81" s="127" t="s">
        <v>234</v>
      </c>
      <c r="AI81" s="128"/>
      <c r="AJ81" s="127" t="s">
        <v>12</v>
      </c>
      <c r="AK81" s="128"/>
      <c r="AL81" s="127" t="s">
        <v>235</v>
      </c>
      <c r="AM81" s="128"/>
      <c r="AN81" s="127" t="s">
        <v>293</v>
      </c>
      <c r="AO81" s="128"/>
      <c r="AP81" s="127" t="s">
        <v>236</v>
      </c>
      <c r="AQ81" s="128"/>
      <c r="AR81" s="127" t="s">
        <v>239</v>
      </c>
      <c r="AS81" s="128"/>
      <c r="AT81" s="127" t="s">
        <v>13</v>
      </c>
      <c r="AU81" s="128"/>
      <c r="AV81" s="127" t="s">
        <v>14</v>
      </c>
      <c r="AW81" s="128"/>
      <c r="AX81" s="127" t="s">
        <v>15</v>
      </c>
      <c r="AY81" s="128"/>
      <c r="AZ81" s="127" t="s">
        <v>16</v>
      </c>
      <c r="BA81" s="128"/>
      <c r="BB81" s="127" t="s">
        <v>17</v>
      </c>
      <c r="BC81" s="128"/>
      <c r="BD81" s="127" t="s">
        <v>237</v>
      </c>
      <c r="BE81" s="128"/>
      <c r="BF81" s="127" t="s">
        <v>238</v>
      </c>
      <c r="BG81" s="128"/>
      <c r="BH81" s="127" t="s">
        <v>18</v>
      </c>
      <c r="BI81" s="128"/>
      <c r="BJ81" s="127" t="s">
        <v>19</v>
      </c>
      <c r="BK81" s="128"/>
      <c r="BL81" s="129" t="s">
        <v>20</v>
      </c>
      <c r="BM81" s="130"/>
    </row>
    <row r="82" spans="1:65" ht="30" x14ac:dyDescent="0.25">
      <c r="A82" s="3"/>
      <c r="B82" s="32" t="s">
        <v>299</v>
      </c>
      <c r="C82" s="33" t="s">
        <v>298</v>
      </c>
      <c r="D82" s="32" t="s">
        <v>299</v>
      </c>
      <c r="E82" s="33" t="s">
        <v>298</v>
      </c>
      <c r="F82" s="32" t="s">
        <v>299</v>
      </c>
      <c r="G82" s="33" t="s">
        <v>298</v>
      </c>
      <c r="H82" s="32" t="s">
        <v>299</v>
      </c>
      <c r="I82" s="33" t="s">
        <v>298</v>
      </c>
      <c r="J82" s="32" t="s">
        <v>299</v>
      </c>
      <c r="K82" s="33" t="s">
        <v>298</v>
      </c>
      <c r="L82" s="32" t="s">
        <v>299</v>
      </c>
      <c r="M82" s="33" t="s">
        <v>298</v>
      </c>
      <c r="N82" s="32" t="s">
        <v>299</v>
      </c>
      <c r="O82" s="33" t="s">
        <v>298</v>
      </c>
      <c r="P82" s="32" t="s">
        <v>299</v>
      </c>
      <c r="Q82" s="33" t="s">
        <v>298</v>
      </c>
      <c r="R82" s="32" t="s">
        <v>299</v>
      </c>
      <c r="S82" s="33" t="s">
        <v>298</v>
      </c>
      <c r="T82" s="32" t="s">
        <v>299</v>
      </c>
      <c r="U82" s="33" t="s">
        <v>298</v>
      </c>
      <c r="V82" s="32" t="s">
        <v>299</v>
      </c>
      <c r="W82" s="33" t="s">
        <v>298</v>
      </c>
      <c r="X82" s="32" t="s">
        <v>299</v>
      </c>
      <c r="Y82" s="33" t="s">
        <v>298</v>
      </c>
      <c r="Z82" s="32" t="s">
        <v>299</v>
      </c>
      <c r="AA82" s="33" t="s">
        <v>298</v>
      </c>
      <c r="AB82" s="32" t="s">
        <v>299</v>
      </c>
      <c r="AC82" s="33" t="s">
        <v>298</v>
      </c>
      <c r="AD82" s="32" t="s">
        <v>299</v>
      </c>
      <c r="AE82" s="33" t="s">
        <v>298</v>
      </c>
      <c r="AF82" s="32" t="s">
        <v>299</v>
      </c>
      <c r="AG82" s="33" t="s">
        <v>298</v>
      </c>
      <c r="AH82" s="32" t="s">
        <v>299</v>
      </c>
      <c r="AI82" s="33" t="s">
        <v>298</v>
      </c>
      <c r="AJ82" s="32" t="s">
        <v>299</v>
      </c>
      <c r="AK82" s="33" t="s">
        <v>298</v>
      </c>
      <c r="AL82" s="32" t="s">
        <v>299</v>
      </c>
      <c r="AM82" s="33" t="s">
        <v>298</v>
      </c>
      <c r="AN82" s="32" t="s">
        <v>299</v>
      </c>
      <c r="AO82" s="33" t="s">
        <v>298</v>
      </c>
      <c r="AP82" s="32" t="s">
        <v>299</v>
      </c>
      <c r="AQ82" s="33" t="s">
        <v>298</v>
      </c>
      <c r="AR82" s="32" t="s">
        <v>299</v>
      </c>
      <c r="AS82" s="33" t="s">
        <v>298</v>
      </c>
      <c r="AT82" s="32" t="s">
        <v>299</v>
      </c>
      <c r="AU82" s="33" t="s">
        <v>298</v>
      </c>
      <c r="AV82" s="32" t="s">
        <v>299</v>
      </c>
      <c r="AW82" s="33" t="s">
        <v>298</v>
      </c>
      <c r="AX82" s="32" t="s">
        <v>299</v>
      </c>
      <c r="AY82" s="33" t="s">
        <v>298</v>
      </c>
      <c r="AZ82" s="32" t="s">
        <v>299</v>
      </c>
      <c r="BA82" s="33" t="s">
        <v>298</v>
      </c>
      <c r="BB82" s="32" t="s">
        <v>299</v>
      </c>
      <c r="BC82" s="33" t="s">
        <v>298</v>
      </c>
      <c r="BD82" s="32" t="s">
        <v>299</v>
      </c>
      <c r="BE82" s="33" t="s">
        <v>298</v>
      </c>
      <c r="BF82" s="32" t="s">
        <v>299</v>
      </c>
      <c r="BG82" s="33" t="s">
        <v>298</v>
      </c>
      <c r="BH82" s="32" t="s">
        <v>299</v>
      </c>
      <c r="BI82" s="33" t="s">
        <v>298</v>
      </c>
      <c r="BJ82" s="32" t="s">
        <v>299</v>
      </c>
      <c r="BK82" s="33" t="s">
        <v>298</v>
      </c>
      <c r="BL82" s="32" t="s">
        <v>299</v>
      </c>
      <c r="BM82" s="33" t="s">
        <v>298</v>
      </c>
    </row>
    <row r="83" spans="1:65" x14ac:dyDescent="0.25">
      <c r="A83" s="2" t="s">
        <v>273</v>
      </c>
      <c r="B83" s="9"/>
      <c r="C83" s="9"/>
      <c r="D83" s="9"/>
      <c r="E83" s="9"/>
      <c r="F83" s="9"/>
      <c r="G83" s="9"/>
      <c r="H83" s="9">
        <v>-1</v>
      </c>
      <c r="I83" s="9">
        <v>-136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>
        <v>237.9</v>
      </c>
      <c r="U83" s="9">
        <v>573.75</v>
      </c>
      <c r="V83" s="9"/>
      <c r="W83" s="9">
        <v>42</v>
      </c>
      <c r="X83" s="9">
        <v>433</v>
      </c>
      <c r="Y83" s="9">
        <v>1547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>
        <v>3184.82</v>
      </c>
      <c r="AK83" s="9">
        <v>5247.97</v>
      </c>
      <c r="AL83" s="9"/>
      <c r="AM83" s="9"/>
      <c r="AN83" s="9"/>
      <c r="AO83" s="9"/>
      <c r="AP83" s="9"/>
      <c r="AQ83" s="9"/>
      <c r="AR83" s="9"/>
      <c r="AS83" s="9">
        <v>440</v>
      </c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>
        <v>567</v>
      </c>
      <c r="BE83" s="9">
        <v>2106</v>
      </c>
      <c r="BF83" s="9">
        <v>549</v>
      </c>
      <c r="BG83" s="9">
        <v>1786</v>
      </c>
      <c r="BH83" s="9">
        <v>1379</v>
      </c>
      <c r="BI83" s="9">
        <v>1963</v>
      </c>
      <c r="BJ83" s="9"/>
      <c r="BK83" s="9"/>
      <c r="BL83" s="46">
        <f t="shared" ref="BL83:BL89" si="13">SUM(B83+D83+F83+H83+J83+L83+N83+P83+R83+T83+V83+X83+Z83+AB83+AD83+AF83+AH83+AJ83+AL83+AN83+AP83+AR83+AT83+AV83+AX83+AZ83+BB83+BD83+BF83+BH83+BJ83)</f>
        <v>6349.72</v>
      </c>
      <c r="BM83" s="46">
        <f t="shared" ref="BM83:BM89" si="14">SUM(C83+E83+G83+I83+K83+M83+O83+Q83+S83+U83+W83+Y83+AA83+AC83+AE83+AG83+AI83+AK83+AM83+AO83+AQ83+AS83+AU83+AW83+AY83+BA83+BC83+BE83+BG83+BI83+BK83)</f>
        <v>13569.720000000001</v>
      </c>
    </row>
    <row r="84" spans="1:65" x14ac:dyDescent="0.25">
      <c r="A84" s="2" t="s">
        <v>274</v>
      </c>
      <c r="B84" s="9"/>
      <c r="C84" s="9"/>
      <c r="D84" s="9"/>
      <c r="E84" s="9"/>
      <c r="F84" s="9"/>
      <c r="G84" s="9"/>
      <c r="H84" s="9"/>
      <c r="I84" s="9">
        <v>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>
        <v>-1</v>
      </c>
      <c r="W84" s="9">
        <v>-9</v>
      </c>
      <c r="X84" s="9">
        <v>22</v>
      </c>
      <c r="Y84" s="9">
        <v>476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>
        <v>1995.26</v>
      </c>
      <c r="AK84" s="9">
        <v>7238.13</v>
      </c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>
        <v>587</v>
      </c>
      <c r="BE84" s="9">
        <v>2634</v>
      </c>
      <c r="BF84" s="9">
        <v>665</v>
      </c>
      <c r="BG84" s="9">
        <v>2960</v>
      </c>
      <c r="BH84" s="9">
        <v>470</v>
      </c>
      <c r="BI84" s="9">
        <v>1232</v>
      </c>
      <c r="BJ84" s="9"/>
      <c r="BK84" s="9"/>
      <c r="BL84" s="46">
        <f t="shared" si="13"/>
        <v>3738.26</v>
      </c>
      <c r="BM84" s="46">
        <f t="shared" si="14"/>
        <v>14531.130000000001</v>
      </c>
    </row>
    <row r="85" spans="1:65" x14ac:dyDescent="0.25">
      <c r="A85" s="2" t="s">
        <v>275</v>
      </c>
      <c r="B85" s="9"/>
      <c r="C85" s="9"/>
      <c r="D85" s="9"/>
      <c r="E85" s="9"/>
      <c r="F85" s="9"/>
      <c r="G85" s="9"/>
      <c r="H85" s="9">
        <v>0</v>
      </c>
      <c r="I85" s="9">
        <v>143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>
        <v>11.9</v>
      </c>
      <c r="U85" s="9">
        <v>28.69</v>
      </c>
      <c r="V85" s="9"/>
      <c r="W85" s="9">
        <v>-14</v>
      </c>
      <c r="X85" s="9">
        <v>22</v>
      </c>
      <c r="Y85" s="9">
        <v>235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>
        <v>2544.9</v>
      </c>
      <c r="AK85" s="9">
        <v>3824.79</v>
      </c>
      <c r="AL85" s="9"/>
      <c r="AM85" s="9"/>
      <c r="AN85" s="9"/>
      <c r="AO85" s="9"/>
      <c r="AP85" s="9"/>
      <c r="AQ85" s="9"/>
      <c r="AR85" s="9"/>
      <c r="AS85" s="9">
        <v>240</v>
      </c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>
        <v>438</v>
      </c>
      <c r="BE85" s="9">
        <v>1837</v>
      </c>
      <c r="BF85" s="9">
        <v>281</v>
      </c>
      <c r="BG85" s="9">
        <v>1313</v>
      </c>
      <c r="BH85" s="9">
        <v>576</v>
      </c>
      <c r="BI85" s="9">
        <v>1290</v>
      </c>
      <c r="BJ85" s="9"/>
      <c r="BK85" s="9"/>
      <c r="BL85" s="46">
        <f t="shared" si="13"/>
        <v>3873.8</v>
      </c>
      <c r="BM85" s="46">
        <f t="shared" si="14"/>
        <v>8897.48</v>
      </c>
    </row>
    <row r="86" spans="1:65" s="7" customFormat="1" x14ac:dyDescent="0.25">
      <c r="A86" s="3" t="s">
        <v>276</v>
      </c>
      <c r="B86" s="10"/>
      <c r="C86" s="10"/>
      <c r="D86" s="10"/>
      <c r="E86" s="10"/>
      <c r="F86" s="10"/>
      <c r="G86" s="10"/>
      <c r="H86" s="10">
        <v>-1</v>
      </c>
      <c r="I86" s="10">
        <v>7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226.01</v>
      </c>
      <c r="U86" s="10">
        <v>545.05999999999995</v>
      </c>
      <c r="V86" s="10">
        <v>-1</v>
      </c>
      <c r="W86" s="10">
        <v>18</v>
      </c>
      <c r="X86" s="10">
        <v>433</v>
      </c>
      <c r="Y86" s="10">
        <v>1788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>
        <v>2635.18</v>
      </c>
      <c r="AK86" s="10">
        <v>8661.32</v>
      </c>
      <c r="AL86" s="10"/>
      <c r="AM86" s="10"/>
      <c r="AN86" s="10"/>
      <c r="AO86" s="10"/>
      <c r="AP86" s="10"/>
      <c r="AQ86" s="10"/>
      <c r="AR86" s="10"/>
      <c r="AS86" s="10">
        <v>200</v>
      </c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v>715</v>
      </c>
      <c r="BE86" s="10">
        <v>2903</v>
      </c>
      <c r="BF86" s="10">
        <v>932</v>
      </c>
      <c r="BG86" s="10">
        <v>3432</v>
      </c>
      <c r="BH86" s="10">
        <v>1273</v>
      </c>
      <c r="BI86" s="10">
        <v>1905</v>
      </c>
      <c r="BJ86" s="10"/>
      <c r="BK86" s="10"/>
      <c r="BL86" s="42">
        <f t="shared" si="13"/>
        <v>6212.19</v>
      </c>
      <c r="BM86" s="42">
        <f t="shared" si="14"/>
        <v>19459.379999999997</v>
      </c>
    </row>
    <row r="87" spans="1:65" x14ac:dyDescent="0.25">
      <c r="A87" s="2" t="s">
        <v>277</v>
      </c>
      <c r="B87" s="9"/>
      <c r="C87" s="9"/>
      <c r="D87" s="9"/>
      <c r="E87" s="9"/>
      <c r="F87" s="9"/>
      <c r="G87" s="9"/>
      <c r="H87" s="9">
        <v>301</v>
      </c>
      <c r="I87" s="9">
        <v>301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>
        <v>342.84</v>
      </c>
      <c r="U87" s="9">
        <v>342.84</v>
      </c>
      <c r="V87" s="9">
        <v>539</v>
      </c>
      <c r="W87" s="9">
        <v>539</v>
      </c>
      <c r="X87" s="9">
        <v>5841</v>
      </c>
      <c r="Y87" s="9">
        <v>5841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>
        <v>-458.79</v>
      </c>
      <c r="AK87" s="9">
        <v>17225.02</v>
      </c>
      <c r="AL87" s="9"/>
      <c r="AM87" s="9"/>
      <c r="AN87" s="9"/>
      <c r="AO87" s="9"/>
      <c r="AP87" s="9"/>
      <c r="AQ87" s="9"/>
      <c r="AR87" s="9">
        <v>2155</v>
      </c>
      <c r="AS87" s="9">
        <v>2155</v>
      </c>
      <c r="AT87" s="9"/>
      <c r="AU87" s="9"/>
      <c r="AV87" s="9">
        <v>2</v>
      </c>
      <c r="AW87" s="9">
        <v>2</v>
      </c>
      <c r="AX87" s="9"/>
      <c r="AY87" s="9"/>
      <c r="AZ87" s="9"/>
      <c r="BA87" s="9"/>
      <c r="BB87" s="9">
        <v>2</v>
      </c>
      <c r="BC87" s="9">
        <v>2</v>
      </c>
      <c r="BD87" s="9">
        <v>6765</v>
      </c>
      <c r="BE87" s="9">
        <v>6765</v>
      </c>
      <c r="BF87" s="9">
        <v>6668</v>
      </c>
      <c r="BG87" s="9">
        <v>20289</v>
      </c>
      <c r="BH87" s="9"/>
      <c r="BI87" s="9"/>
      <c r="BJ87" s="9"/>
      <c r="BK87" s="9"/>
      <c r="BL87" s="46">
        <f t="shared" si="13"/>
        <v>22157.05</v>
      </c>
      <c r="BM87" s="46">
        <f t="shared" si="14"/>
        <v>53461.86</v>
      </c>
    </row>
    <row r="88" spans="1:65" ht="15" customHeight="1" x14ac:dyDescent="0.25">
      <c r="A88" s="2" t="s">
        <v>278</v>
      </c>
      <c r="B88" s="9"/>
      <c r="C88" s="9"/>
      <c r="D88" s="9"/>
      <c r="E88" s="9"/>
      <c r="F88" s="9"/>
      <c r="G88" s="9"/>
      <c r="H88" s="9">
        <v>667</v>
      </c>
      <c r="I88" s="9">
        <v>1359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>
        <v>188.5</v>
      </c>
      <c r="U88" s="9">
        <v>215.15</v>
      </c>
      <c r="V88" s="9">
        <v>-689</v>
      </c>
      <c r="W88" s="9">
        <v>-708</v>
      </c>
      <c r="X88" s="9">
        <v>5606</v>
      </c>
      <c r="Y88" s="9">
        <v>5719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>
        <v>15918.67</v>
      </c>
      <c r="AL88" s="9"/>
      <c r="AM88" s="9"/>
      <c r="AN88" s="9"/>
      <c r="AO88" s="9"/>
      <c r="AP88" s="9"/>
      <c r="AQ88" s="9"/>
      <c r="AR88" s="9">
        <v>2242</v>
      </c>
      <c r="AS88" s="9">
        <v>1866</v>
      </c>
      <c r="AT88" s="9"/>
      <c r="AU88" s="9"/>
      <c r="AV88" s="9">
        <v>2</v>
      </c>
      <c r="AW88" s="9">
        <v>2</v>
      </c>
      <c r="AX88" s="9"/>
      <c r="AY88" s="9"/>
      <c r="AZ88" s="9"/>
      <c r="BA88" s="9"/>
      <c r="BB88" s="9">
        <v>2</v>
      </c>
      <c r="BC88" s="9">
        <v>2</v>
      </c>
      <c r="BD88" s="9">
        <v>5735</v>
      </c>
      <c r="BE88" s="9">
        <v>5615</v>
      </c>
      <c r="BF88" s="9">
        <v>0</v>
      </c>
      <c r="BG88" s="9">
        <v>12011</v>
      </c>
      <c r="BH88" s="9"/>
      <c r="BI88" s="9"/>
      <c r="BJ88" s="9"/>
      <c r="BK88" s="9"/>
      <c r="BL88" s="46">
        <f t="shared" si="13"/>
        <v>13753.5</v>
      </c>
      <c r="BM88" s="46">
        <f t="shared" si="14"/>
        <v>41999.82</v>
      </c>
    </row>
    <row r="89" spans="1:65" s="7" customFormat="1" x14ac:dyDescent="0.25">
      <c r="A89" s="3" t="s">
        <v>279</v>
      </c>
      <c r="B89" s="10"/>
      <c r="C89" s="10"/>
      <c r="D89" s="10"/>
      <c r="E89" s="10"/>
      <c r="F89" s="10"/>
      <c r="G89" s="10"/>
      <c r="H89" s="10">
        <v>-366</v>
      </c>
      <c r="I89" s="10">
        <v>-1052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>
        <v>380.35</v>
      </c>
      <c r="U89" s="10">
        <v>672.75</v>
      </c>
      <c r="V89" s="10">
        <v>-152</v>
      </c>
      <c r="W89" s="10">
        <v>-151</v>
      </c>
      <c r="X89" s="10">
        <v>668</v>
      </c>
      <c r="Y89" s="10">
        <v>1910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>
        <v>2176.4</v>
      </c>
      <c r="AK89" s="10">
        <v>9967.66</v>
      </c>
      <c r="AL89" s="10"/>
      <c r="AM89" s="10"/>
      <c r="AN89" s="10"/>
      <c r="AO89" s="10"/>
      <c r="AP89" s="10"/>
      <c r="AQ89" s="10"/>
      <c r="AR89" s="10">
        <v>-87</v>
      </c>
      <c r="AS89" s="10">
        <v>489</v>
      </c>
      <c r="AT89" s="10"/>
      <c r="AU89" s="10"/>
      <c r="AV89" s="10">
        <v>0</v>
      </c>
      <c r="AW89" s="10"/>
      <c r="AX89" s="10"/>
      <c r="AY89" s="10"/>
      <c r="AZ89" s="10"/>
      <c r="BA89" s="10"/>
      <c r="BB89" s="10"/>
      <c r="BC89" s="10"/>
      <c r="BD89" s="10">
        <v>1745</v>
      </c>
      <c r="BE89" s="10">
        <v>4053</v>
      </c>
      <c r="BF89" s="10">
        <v>7600</v>
      </c>
      <c r="BG89" s="10">
        <v>11711</v>
      </c>
      <c r="BH89" s="10">
        <v>41</v>
      </c>
      <c r="BI89" s="10">
        <v>326</v>
      </c>
      <c r="BJ89" s="10"/>
      <c r="BK89" s="10"/>
      <c r="BL89" s="42">
        <f t="shared" si="13"/>
        <v>12005.75</v>
      </c>
      <c r="BM89" s="42">
        <f t="shared" si="14"/>
        <v>27926.41</v>
      </c>
    </row>
    <row r="90" spans="1:65" x14ac:dyDescent="0.25">
      <c r="A90" s="5"/>
    </row>
    <row r="91" spans="1:65" x14ac:dyDescent="0.25">
      <c r="A91" s="18" t="s">
        <v>242</v>
      </c>
    </row>
    <row r="92" spans="1:65" x14ac:dyDescent="0.25">
      <c r="A92" s="3" t="s">
        <v>0</v>
      </c>
      <c r="B92" s="127" t="s">
        <v>1</v>
      </c>
      <c r="C92" s="128"/>
      <c r="D92" s="127" t="s">
        <v>232</v>
      </c>
      <c r="E92" s="128"/>
      <c r="F92" s="127" t="s">
        <v>2</v>
      </c>
      <c r="G92" s="128"/>
      <c r="H92" s="127" t="s">
        <v>3</v>
      </c>
      <c r="I92" s="128"/>
      <c r="J92" s="127" t="s">
        <v>241</v>
      </c>
      <c r="K92" s="128"/>
      <c r="L92" s="127" t="s">
        <v>233</v>
      </c>
      <c r="M92" s="128"/>
      <c r="N92" s="127" t="s">
        <v>244</v>
      </c>
      <c r="O92" s="128"/>
      <c r="P92" s="127" t="s">
        <v>5</v>
      </c>
      <c r="Q92" s="128"/>
      <c r="R92" s="127" t="s">
        <v>4</v>
      </c>
      <c r="S92" s="128"/>
      <c r="T92" s="127" t="s">
        <v>6</v>
      </c>
      <c r="U92" s="128"/>
      <c r="V92" s="127" t="s">
        <v>7</v>
      </c>
      <c r="W92" s="128"/>
      <c r="X92" s="127" t="s">
        <v>8</v>
      </c>
      <c r="Y92" s="128"/>
      <c r="Z92" s="127" t="s">
        <v>9</v>
      </c>
      <c r="AA92" s="128"/>
      <c r="AB92" s="127" t="s">
        <v>240</v>
      </c>
      <c r="AC92" s="128"/>
      <c r="AD92" s="127" t="s">
        <v>10</v>
      </c>
      <c r="AE92" s="128"/>
      <c r="AF92" s="127" t="s">
        <v>11</v>
      </c>
      <c r="AG92" s="128"/>
      <c r="AH92" s="127" t="s">
        <v>234</v>
      </c>
      <c r="AI92" s="128"/>
      <c r="AJ92" s="127" t="s">
        <v>12</v>
      </c>
      <c r="AK92" s="128"/>
      <c r="AL92" s="127" t="s">
        <v>235</v>
      </c>
      <c r="AM92" s="128"/>
      <c r="AN92" s="127" t="s">
        <v>293</v>
      </c>
      <c r="AO92" s="128"/>
      <c r="AP92" s="127" t="s">
        <v>236</v>
      </c>
      <c r="AQ92" s="128"/>
      <c r="AR92" s="127" t="s">
        <v>239</v>
      </c>
      <c r="AS92" s="128"/>
      <c r="AT92" s="127" t="s">
        <v>13</v>
      </c>
      <c r="AU92" s="128"/>
      <c r="AV92" s="127" t="s">
        <v>14</v>
      </c>
      <c r="AW92" s="128"/>
      <c r="AX92" s="127" t="s">
        <v>15</v>
      </c>
      <c r="AY92" s="128"/>
      <c r="AZ92" s="127" t="s">
        <v>16</v>
      </c>
      <c r="BA92" s="128"/>
      <c r="BB92" s="127" t="s">
        <v>17</v>
      </c>
      <c r="BC92" s="128"/>
      <c r="BD92" s="127" t="s">
        <v>237</v>
      </c>
      <c r="BE92" s="128"/>
      <c r="BF92" s="127" t="s">
        <v>238</v>
      </c>
      <c r="BG92" s="128"/>
      <c r="BH92" s="127" t="s">
        <v>18</v>
      </c>
      <c r="BI92" s="128"/>
      <c r="BJ92" s="127" t="s">
        <v>19</v>
      </c>
      <c r="BK92" s="128"/>
      <c r="BL92" s="129" t="s">
        <v>20</v>
      </c>
      <c r="BM92" s="130"/>
    </row>
    <row r="93" spans="1:65" ht="30" x14ac:dyDescent="0.25">
      <c r="A93" s="3"/>
      <c r="B93" s="32" t="s">
        <v>299</v>
      </c>
      <c r="C93" s="33" t="s">
        <v>298</v>
      </c>
      <c r="D93" s="32" t="s">
        <v>299</v>
      </c>
      <c r="E93" s="33" t="s">
        <v>298</v>
      </c>
      <c r="F93" s="32" t="s">
        <v>299</v>
      </c>
      <c r="G93" s="33" t="s">
        <v>298</v>
      </c>
      <c r="H93" s="32" t="s">
        <v>299</v>
      </c>
      <c r="I93" s="33" t="s">
        <v>298</v>
      </c>
      <c r="J93" s="32" t="s">
        <v>299</v>
      </c>
      <c r="K93" s="33" t="s">
        <v>298</v>
      </c>
      <c r="L93" s="32" t="s">
        <v>299</v>
      </c>
      <c r="M93" s="33" t="s">
        <v>298</v>
      </c>
      <c r="N93" s="32" t="s">
        <v>299</v>
      </c>
      <c r="O93" s="33" t="s">
        <v>298</v>
      </c>
      <c r="P93" s="32" t="s">
        <v>299</v>
      </c>
      <c r="Q93" s="33" t="s">
        <v>298</v>
      </c>
      <c r="R93" s="32" t="s">
        <v>299</v>
      </c>
      <c r="S93" s="33" t="s">
        <v>298</v>
      </c>
      <c r="T93" s="32" t="s">
        <v>299</v>
      </c>
      <c r="U93" s="33" t="s">
        <v>298</v>
      </c>
      <c r="V93" s="32" t="s">
        <v>299</v>
      </c>
      <c r="W93" s="33" t="s">
        <v>298</v>
      </c>
      <c r="X93" s="32" t="s">
        <v>299</v>
      </c>
      <c r="Y93" s="33" t="s">
        <v>298</v>
      </c>
      <c r="Z93" s="32" t="s">
        <v>299</v>
      </c>
      <c r="AA93" s="33" t="s">
        <v>298</v>
      </c>
      <c r="AB93" s="32" t="s">
        <v>299</v>
      </c>
      <c r="AC93" s="33" t="s">
        <v>298</v>
      </c>
      <c r="AD93" s="32" t="s">
        <v>299</v>
      </c>
      <c r="AE93" s="33" t="s">
        <v>298</v>
      </c>
      <c r="AF93" s="32" t="s">
        <v>299</v>
      </c>
      <c r="AG93" s="33" t="s">
        <v>298</v>
      </c>
      <c r="AH93" s="32" t="s">
        <v>299</v>
      </c>
      <c r="AI93" s="33" t="s">
        <v>298</v>
      </c>
      <c r="AJ93" s="32" t="s">
        <v>299</v>
      </c>
      <c r="AK93" s="33" t="s">
        <v>298</v>
      </c>
      <c r="AL93" s="32" t="s">
        <v>299</v>
      </c>
      <c r="AM93" s="33" t="s">
        <v>298</v>
      </c>
      <c r="AN93" s="32" t="s">
        <v>299</v>
      </c>
      <c r="AO93" s="33" t="s">
        <v>298</v>
      </c>
      <c r="AP93" s="32" t="s">
        <v>299</v>
      </c>
      <c r="AQ93" s="33" t="s">
        <v>298</v>
      </c>
      <c r="AR93" s="32" t="s">
        <v>299</v>
      </c>
      <c r="AS93" s="33" t="s">
        <v>298</v>
      </c>
      <c r="AT93" s="32" t="s">
        <v>299</v>
      </c>
      <c r="AU93" s="33" t="s">
        <v>298</v>
      </c>
      <c r="AV93" s="32" t="s">
        <v>299</v>
      </c>
      <c r="AW93" s="33" t="s">
        <v>298</v>
      </c>
      <c r="AX93" s="32" t="s">
        <v>299</v>
      </c>
      <c r="AY93" s="33" t="s">
        <v>298</v>
      </c>
      <c r="AZ93" s="32" t="s">
        <v>299</v>
      </c>
      <c r="BA93" s="33" t="s">
        <v>298</v>
      </c>
      <c r="BB93" s="32" t="s">
        <v>299</v>
      </c>
      <c r="BC93" s="33" t="s">
        <v>298</v>
      </c>
      <c r="BD93" s="32" t="s">
        <v>299</v>
      </c>
      <c r="BE93" s="33" t="s">
        <v>298</v>
      </c>
      <c r="BF93" s="32" t="s">
        <v>299</v>
      </c>
      <c r="BG93" s="33" t="s">
        <v>298</v>
      </c>
      <c r="BH93" s="32" t="s">
        <v>299</v>
      </c>
      <c r="BI93" s="33" t="s">
        <v>298</v>
      </c>
      <c r="BJ93" s="32" t="s">
        <v>299</v>
      </c>
      <c r="BK93" s="33" t="s">
        <v>298</v>
      </c>
      <c r="BL93" s="32" t="s">
        <v>299</v>
      </c>
      <c r="BM93" s="33" t="s">
        <v>298</v>
      </c>
    </row>
    <row r="94" spans="1:65" x14ac:dyDescent="0.25">
      <c r="A94" s="2" t="s">
        <v>273</v>
      </c>
      <c r="B94" s="9"/>
      <c r="C94" s="9"/>
      <c r="D94" s="9"/>
      <c r="E94" s="9"/>
      <c r="F94" s="9">
        <v>275899</v>
      </c>
      <c r="G94" s="9">
        <v>623473</v>
      </c>
      <c r="H94" s="9">
        <v>45586</v>
      </c>
      <c r="I94" s="9">
        <v>79813</v>
      </c>
      <c r="J94" s="9"/>
      <c r="K94" s="9"/>
      <c r="L94" s="9">
        <v>7</v>
      </c>
      <c r="M94" s="9">
        <v>9</v>
      </c>
      <c r="N94" s="9"/>
      <c r="O94" s="9"/>
      <c r="P94" s="9"/>
      <c r="Q94" s="9"/>
      <c r="R94" s="9"/>
      <c r="S94" s="9"/>
      <c r="T94" s="9">
        <v>9336.3799999999992</v>
      </c>
      <c r="U94" s="9">
        <v>34549.17</v>
      </c>
      <c r="V94" s="9">
        <v>47378</v>
      </c>
      <c r="W94" s="9">
        <v>137782</v>
      </c>
      <c r="X94" s="9">
        <v>26429</v>
      </c>
      <c r="Y94" s="9">
        <v>47151</v>
      </c>
      <c r="Z94" s="9">
        <v>8513</v>
      </c>
      <c r="AA94" s="9">
        <v>63713</v>
      </c>
      <c r="AB94" s="9"/>
      <c r="AC94" s="9"/>
      <c r="AD94" s="9"/>
      <c r="AE94" s="9"/>
      <c r="AF94" s="9"/>
      <c r="AG94" s="9"/>
      <c r="AH94" s="9"/>
      <c r="AI94" s="9"/>
      <c r="AJ94" s="9">
        <v>11486.06</v>
      </c>
      <c r="AK94" s="9">
        <v>18453.88</v>
      </c>
      <c r="AL94" s="9"/>
      <c r="AM94" s="9"/>
      <c r="AN94" s="9"/>
      <c r="AO94" s="9"/>
      <c r="AP94" s="9"/>
      <c r="AQ94" s="9"/>
      <c r="AR94" s="9">
        <v>9245</v>
      </c>
      <c r="AS94" s="9">
        <v>93016</v>
      </c>
      <c r="AT94" s="9"/>
      <c r="AU94" s="9"/>
      <c r="AV94" s="9">
        <v>47989</v>
      </c>
      <c r="AW94" s="9">
        <v>104360</v>
      </c>
      <c r="AX94" s="9"/>
      <c r="AY94" s="9"/>
      <c r="AZ94" s="9"/>
      <c r="BA94" s="9"/>
      <c r="BB94" s="9">
        <v>263</v>
      </c>
      <c r="BC94" s="9">
        <v>272</v>
      </c>
      <c r="BD94" s="9">
        <v>5641</v>
      </c>
      <c r="BE94" s="9">
        <v>35177</v>
      </c>
      <c r="BF94" s="9">
        <v>1680</v>
      </c>
      <c r="BG94" s="9">
        <v>1841</v>
      </c>
      <c r="BH94" s="9">
        <v>29500</v>
      </c>
      <c r="BI94" s="9">
        <v>32662</v>
      </c>
      <c r="BJ94" s="9">
        <v>14815</v>
      </c>
      <c r="BK94" s="9">
        <v>71181</v>
      </c>
      <c r="BL94" s="46">
        <f t="shared" ref="BL94:BL100" si="15">SUM(B94+D94+F94+H94+J94+L94+N94+P94+R94+T94+V94+X94+Z94+AB94+AD94+AF94+AH94+AJ94+AL94+AN94+AP94+AR94+AT94+AV94+AX94+AZ94+BB94+BD94+BF94+BH94+BJ94)</f>
        <v>533767.43999999994</v>
      </c>
      <c r="BM94" s="46">
        <f t="shared" ref="BM94:BM100" si="16">SUM(C94+E94+G94+I94+K94+M94+O94+Q94+S94+U94+W94+Y94+AA94+AC94+AE94+AG94+AI94+AK94+AM94+AO94+AQ94+AS94+AU94+AW94+AY94+BA94+BC94+BE94+BG94+BI94+BK94)</f>
        <v>1343453.05</v>
      </c>
    </row>
    <row r="95" spans="1:65" x14ac:dyDescent="0.25">
      <c r="A95" s="2" t="s">
        <v>274</v>
      </c>
      <c r="B95" s="9"/>
      <c r="C95" s="9"/>
      <c r="D95" s="9"/>
      <c r="E95" s="9"/>
      <c r="F95" s="9">
        <v>0</v>
      </c>
      <c r="G95" s="9">
        <v>32</v>
      </c>
      <c r="H95" s="9"/>
      <c r="I95" s="9">
        <v>0</v>
      </c>
      <c r="J95" s="9"/>
      <c r="K95" s="9"/>
      <c r="L95" s="9"/>
      <c r="M95" s="9"/>
      <c r="N95" s="9">
        <v>965</v>
      </c>
      <c r="O95" s="9">
        <v>2061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>
        <v>0</v>
      </c>
      <c r="BE95" s="9">
        <v>4</v>
      </c>
      <c r="BF95" s="9">
        <v>0</v>
      </c>
      <c r="BG95" s="9">
        <v>111</v>
      </c>
      <c r="BH95" s="9"/>
      <c r="BI95" s="9"/>
      <c r="BJ95" s="9"/>
      <c r="BK95" s="9"/>
      <c r="BL95" s="46">
        <f t="shared" si="15"/>
        <v>965</v>
      </c>
      <c r="BM95" s="46">
        <f t="shared" si="16"/>
        <v>2208</v>
      </c>
    </row>
    <row r="96" spans="1:65" x14ac:dyDescent="0.25">
      <c r="A96" s="2" t="s">
        <v>275</v>
      </c>
      <c r="B96" s="9"/>
      <c r="C96" s="9"/>
      <c r="D96" s="9"/>
      <c r="E96" s="9"/>
      <c r="F96" s="9">
        <v>129573</v>
      </c>
      <c r="G96" s="9">
        <v>347689</v>
      </c>
      <c r="H96" s="9">
        <v>-35890</v>
      </c>
      <c r="I96" s="9">
        <v>-62686</v>
      </c>
      <c r="J96" s="9"/>
      <c r="K96" s="9"/>
      <c r="L96" s="9">
        <v>6</v>
      </c>
      <c r="M96" s="9">
        <v>7</v>
      </c>
      <c r="N96" s="9">
        <v>-3</v>
      </c>
      <c r="O96" s="9">
        <v>452</v>
      </c>
      <c r="P96" s="9"/>
      <c r="Q96" s="9"/>
      <c r="R96" s="9"/>
      <c r="S96" s="9"/>
      <c r="T96" s="9">
        <v>6557.94</v>
      </c>
      <c r="U96" s="9">
        <v>26239.14</v>
      </c>
      <c r="V96" s="9">
        <v>-28770</v>
      </c>
      <c r="W96" s="9">
        <v>-96631</v>
      </c>
      <c r="X96" s="9">
        <v>19047</v>
      </c>
      <c r="Y96" s="9">
        <v>35377</v>
      </c>
      <c r="Z96" s="9">
        <v>6384</v>
      </c>
      <c r="AA96" s="9">
        <v>47798</v>
      </c>
      <c r="AB96" s="9"/>
      <c r="AC96" s="9"/>
      <c r="AD96" s="9"/>
      <c r="AE96" s="9"/>
      <c r="AF96" s="9"/>
      <c r="AG96" s="9"/>
      <c r="AH96" s="9"/>
      <c r="AI96" s="9"/>
      <c r="AJ96" s="9">
        <v>2505.36</v>
      </c>
      <c r="AK96" s="9">
        <v>7528.58</v>
      </c>
      <c r="AL96" s="9"/>
      <c r="AM96" s="9"/>
      <c r="AN96" s="9"/>
      <c r="AO96" s="9"/>
      <c r="AP96" s="9"/>
      <c r="AQ96" s="9"/>
      <c r="AR96" s="9">
        <v>6731</v>
      </c>
      <c r="AS96" s="9">
        <v>67712</v>
      </c>
      <c r="AT96" s="9"/>
      <c r="AU96" s="9"/>
      <c r="AV96" s="9">
        <v>37197</v>
      </c>
      <c r="AW96" s="9">
        <v>80914</v>
      </c>
      <c r="AX96" s="9"/>
      <c r="AY96" s="9"/>
      <c r="AZ96" s="9"/>
      <c r="BA96" s="9"/>
      <c r="BB96" s="9">
        <v>243</v>
      </c>
      <c r="BC96" s="9">
        <v>249</v>
      </c>
      <c r="BD96" s="9">
        <v>-2242</v>
      </c>
      <c r="BE96" s="9">
        <v>3519</v>
      </c>
      <c r="BF96" s="9">
        <v>1260</v>
      </c>
      <c r="BG96" s="9">
        <v>1351</v>
      </c>
      <c r="BH96" s="9">
        <v>3747</v>
      </c>
      <c r="BI96" s="9">
        <v>6276</v>
      </c>
      <c r="BJ96" s="9">
        <v>10357</v>
      </c>
      <c r="BK96" s="9">
        <v>54563</v>
      </c>
      <c r="BL96" s="46">
        <f t="shared" si="15"/>
        <v>156703.29999999999</v>
      </c>
      <c r="BM96" s="46">
        <f t="shared" si="16"/>
        <v>520357.72000000003</v>
      </c>
    </row>
    <row r="97" spans="1:65" s="7" customFormat="1" x14ac:dyDescent="0.25">
      <c r="A97" s="3" t="s">
        <v>276</v>
      </c>
      <c r="B97" s="10"/>
      <c r="C97" s="10"/>
      <c r="D97" s="10"/>
      <c r="E97" s="10"/>
      <c r="F97" s="10">
        <v>146326</v>
      </c>
      <c r="G97" s="10">
        <v>275816</v>
      </c>
      <c r="H97" s="10">
        <v>9697</v>
      </c>
      <c r="I97" s="10">
        <v>17127</v>
      </c>
      <c r="J97" s="10"/>
      <c r="K97" s="10"/>
      <c r="L97" s="10">
        <v>1</v>
      </c>
      <c r="M97" s="10">
        <v>1</v>
      </c>
      <c r="N97" s="10">
        <v>968</v>
      </c>
      <c r="O97" s="10">
        <v>1609</v>
      </c>
      <c r="P97" s="10"/>
      <c r="Q97" s="10"/>
      <c r="R97" s="10"/>
      <c r="S97" s="10"/>
      <c r="T97" s="10">
        <v>2778.44</v>
      </c>
      <c r="U97" s="10">
        <v>8310.02</v>
      </c>
      <c r="V97" s="10">
        <v>18608</v>
      </c>
      <c r="W97" s="10">
        <v>41151</v>
      </c>
      <c r="X97" s="10">
        <v>7382</v>
      </c>
      <c r="Y97" s="10">
        <v>11774</v>
      </c>
      <c r="Z97" s="10">
        <v>2129</v>
      </c>
      <c r="AA97" s="10">
        <v>15915</v>
      </c>
      <c r="AB97" s="10"/>
      <c r="AC97" s="10"/>
      <c r="AD97" s="10"/>
      <c r="AE97" s="10"/>
      <c r="AF97" s="10"/>
      <c r="AG97" s="10"/>
      <c r="AH97" s="10"/>
      <c r="AI97" s="10"/>
      <c r="AJ97" s="10">
        <v>8980.7000000000007</v>
      </c>
      <c r="AK97" s="10">
        <v>10925.3</v>
      </c>
      <c r="AL97" s="10"/>
      <c r="AM97" s="10"/>
      <c r="AN97" s="10"/>
      <c r="AO97" s="10"/>
      <c r="AP97" s="10"/>
      <c r="AQ97" s="10"/>
      <c r="AR97" s="10">
        <v>2514</v>
      </c>
      <c r="AS97" s="10">
        <v>25304</v>
      </c>
      <c r="AT97" s="10"/>
      <c r="AU97" s="10"/>
      <c r="AV97" s="10">
        <v>10792</v>
      </c>
      <c r="AW97" s="10">
        <v>23446</v>
      </c>
      <c r="AX97" s="10"/>
      <c r="AY97" s="10"/>
      <c r="AZ97" s="10"/>
      <c r="BA97" s="10"/>
      <c r="BB97" s="10">
        <v>20</v>
      </c>
      <c r="BC97" s="10">
        <v>23</v>
      </c>
      <c r="BD97" s="10">
        <v>7883</v>
      </c>
      <c r="BE97" s="10">
        <v>31662</v>
      </c>
      <c r="BF97" s="10">
        <v>420</v>
      </c>
      <c r="BG97" s="10">
        <v>601</v>
      </c>
      <c r="BH97" s="10">
        <v>25753</v>
      </c>
      <c r="BI97" s="10">
        <v>26385</v>
      </c>
      <c r="BJ97" s="10">
        <v>4459</v>
      </c>
      <c r="BK97" s="10">
        <v>16618</v>
      </c>
      <c r="BL97" s="42">
        <f t="shared" si="15"/>
        <v>248711.14</v>
      </c>
      <c r="BM97" s="42">
        <f t="shared" si="16"/>
        <v>506667.32</v>
      </c>
    </row>
    <row r="98" spans="1:65" x14ac:dyDescent="0.25">
      <c r="A98" s="2" t="s">
        <v>277</v>
      </c>
      <c r="B98" s="9"/>
      <c r="C98" s="9"/>
      <c r="D98" s="9"/>
      <c r="E98" s="9"/>
      <c r="F98" s="9">
        <v>1029021</v>
      </c>
      <c r="G98" s="9">
        <v>1029021</v>
      </c>
      <c r="H98" s="9">
        <v>37686</v>
      </c>
      <c r="I98" s="9">
        <v>37686</v>
      </c>
      <c r="J98" s="9"/>
      <c r="K98" s="9"/>
      <c r="L98" s="9">
        <v>588</v>
      </c>
      <c r="M98" s="9">
        <v>588</v>
      </c>
      <c r="N98" s="9">
        <v>2934</v>
      </c>
      <c r="O98" s="9">
        <v>2934</v>
      </c>
      <c r="P98" s="9"/>
      <c r="Q98" s="9"/>
      <c r="R98" s="9"/>
      <c r="S98" s="9"/>
      <c r="T98" s="9">
        <v>15137.41</v>
      </c>
      <c r="U98" s="9">
        <v>15137.41</v>
      </c>
      <c r="V98" s="9">
        <v>68752</v>
      </c>
      <c r="W98" s="9">
        <v>68752</v>
      </c>
      <c r="X98" s="9">
        <v>30795</v>
      </c>
      <c r="Y98" s="9">
        <v>30795</v>
      </c>
      <c r="Z98" s="9">
        <v>219</v>
      </c>
      <c r="AA98" s="9">
        <v>6814</v>
      </c>
      <c r="AB98" s="9"/>
      <c r="AC98" s="9"/>
      <c r="AD98" s="9"/>
      <c r="AE98" s="9"/>
      <c r="AF98" s="9">
        <v>4766</v>
      </c>
      <c r="AG98" s="9">
        <v>4766</v>
      </c>
      <c r="AH98" s="9"/>
      <c r="AI98" s="9"/>
      <c r="AJ98" s="9">
        <v>5473.02</v>
      </c>
      <c r="AK98" s="9">
        <v>15412.29</v>
      </c>
      <c r="AL98" s="9"/>
      <c r="AM98" s="9"/>
      <c r="AN98" s="9"/>
      <c r="AO98" s="9"/>
      <c r="AP98" s="9"/>
      <c r="AQ98" s="9"/>
      <c r="AR98" s="9">
        <v>143744</v>
      </c>
      <c r="AS98" s="9">
        <v>143744</v>
      </c>
      <c r="AT98" s="9"/>
      <c r="AU98" s="9"/>
      <c r="AV98" s="9">
        <v>55553</v>
      </c>
      <c r="AW98" s="9">
        <v>55553</v>
      </c>
      <c r="AX98" s="9">
        <v>6</v>
      </c>
      <c r="AY98" s="9">
        <v>6</v>
      </c>
      <c r="AZ98" s="9"/>
      <c r="BA98" s="9"/>
      <c r="BB98" s="9">
        <v>2581</v>
      </c>
      <c r="BC98" s="9">
        <v>2581</v>
      </c>
      <c r="BD98" s="9">
        <v>17600</v>
      </c>
      <c r="BE98" s="9">
        <v>17600</v>
      </c>
      <c r="BF98" s="9">
        <v>-875</v>
      </c>
      <c r="BG98" s="9">
        <v>34830</v>
      </c>
      <c r="BH98" s="9"/>
      <c r="BI98" s="9"/>
      <c r="BJ98" s="9">
        <v>6681</v>
      </c>
      <c r="BK98" s="9">
        <v>6681</v>
      </c>
      <c r="BL98" s="46">
        <f t="shared" si="15"/>
        <v>1420661.43</v>
      </c>
      <c r="BM98" s="46">
        <f t="shared" si="16"/>
        <v>1472900.7</v>
      </c>
    </row>
    <row r="99" spans="1:65" ht="15" customHeight="1" x14ac:dyDescent="0.25">
      <c r="A99" s="2" t="s">
        <v>278</v>
      </c>
      <c r="B99" s="9"/>
      <c r="C99" s="9"/>
      <c r="D99" s="9"/>
      <c r="E99" s="9"/>
      <c r="F99" s="9">
        <v>1056917</v>
      </c>
      <c r="G99" s="9">
        <v>788439</v>
      </c>
      <c r="H99" s="9">
        <v>28352</v>
      </c>
      <c r="I99" s="9">
        <v>18619</v>
      </c>
      <c r="J99" s="9"/>
      <c r="K99" s="9"/>
      <c r="L99" s="9">
        <v>589</v>
      </c>
      <c r="M99" s="9">
        <v>589</v>
      </c>
      <c r="N99" s="9">
        <v>1952</v>
      </c>
      <c r="O99" s="9">
        <v>490</v>
      </c>
      <c r="P99" s="9"/>
      <c r="Q99" s="9"/>
      <c r="R99" s="9"/>
      <c r="S99" s="9"/>
      <c r="T99" s="9">
        <v>7625.2</v>
      </c>
      <c r="U99" s="9">
        <v>12043.32</v>
      </c>
      <c r="V99" s="9">
        <v>-64400</v>
      </c>
      <c r="W99" s="9">
        <v>-51519</v>
      </c>
      <c r="X99" s="9">
        <v>33179</v>
      </c>
      <c r="Y99" s="9">
        <v>21763</v>
      </c>
      <c r="Z99" s="9"/>
      <c r="AA99" s="9">
        <v>12438</v>
      </c>
      <c r="AB99" s="9"/>
      <c r="AC99" s="9"/>
      <c r="AD99" s="9"/>
      <c r="AE99" s="9"/>
      <c r="AF99" s="9">
        <v>-4766</v>
      </c>
      <c r="AG99" s="9">
        <v>-3866</v>
      </c>
      <c r="AH99" s="9"/>
      <c r="AI99" s="9"/>
      <c r="AJ99" s="9">
        <v>0</v>
      </c>
      <c r="AK99" s="9">
        <v>11620.54</v>
      </c>
      <c r="AL99" s="9"/>
      <c r="AM99" s="9"/>
      <c r="AN99" s="9"/>
      <c r="AO99" s="9"/>
      <c r="AP99" s="9"/>
      <c r="AQ99" s="9"/>
      <c r="AR99" s="9">
        <v>110618</v>
      </c>
      <c r="AS99" s="9">
        <v>85138</v>
      </c>
      <c r="AT99" s="9"/>
      <c r="AU99" s="9"/>
      <c r="AV99" s="9">
        <v>51576</v>
      </c>
      <c r="AW99" s="9">
        <v>51115</v>
      </c>
      <c r="AX99" s="9">
        <v>6</v>
      </c>
      <c r="AY99" s="9">
        <v>4</v>
      </c>
      <c r="AZ99" s="9"/>
      <c r="BA99" s="9"/>
      <c r="BB99" s="9">
        <v>2590</v>
      </c>
      <c r="BC99" s="9">
        <v>2617</v>
      </c>
      <c r="BD99" s="9">
        <v>18215</v>
      </c>
      <c r="BE99" s="9">
        <v>27916</v>
      </c>
      <c r="BF99" s="9">
        <v>0</v>
      </c>
      <c r="BG99" s="9">
        <v>31150</v>
      </c>
      <c r="BH99" s="9"/>
      <c r="BI99" s="9"/>
      <c r="BJ99" s="9">
        <v>5125</v>
      </c>
      <c r="BK99" s="9">
        <v>12425</v>
      </c>
      <c r="BL99" s="46">
        <f t="shared" si="15"/>
        <v>1247578.2</v>
      </c>
      <c r="BM99" s="46">
        <f t="shared" si="16"/>
        <v>1020981.86</v>
      </c>
    </row>
    <row r="100" spans="1:65" s="7" customFormat="1" x14ac:dyDescent="0.25">
      <c r="A100" s="3" t="s">
        <v>279</v>
      </c>
      <c r="B100" s="10"/>
      <c r="C100" s="10"/>
      <c r="D100" s="10"/>
      <c r="E100" s="10"/>
      <c r="F100" s="10">
        <v>118431</v>
      </c>
      <c r="G100" s="10">
        <v>516399</v>
      </c>
      <c r="H100" s="10">
        <v>19030</v>
      </c>
      <c r="I100" s="10">
        <v>36194</v>
      </c>
      <c r="J100" s="10"/>
      <c r="K100" s="10"/>
      <c r="L100" s="10">
        <v>0</v>
      </c>
      <c r="M100" s="10">
        <v>0</v>
      </c>
      <c r="N100" s="10">
        <v>1950</v>
      </c>
      <c r="O100" s="10">
        <v>4053</v>
      </c>
      <c r="P100" s="10"/>
      <c r="Q100" s="10"/>
      <c r="R100" s="10"/>
      <c r="S100" s="10"/>
      <c r="T100" s="10">
        <v>10290.65</v>
      </c>
      <c r="U100" s="10">
        <v>11404.11</v>
      </c>
      <c r="V100" s="10">
        <v>22959</v>
      </c>
      <c r="W100" s="10">
        <v>58384</v>
      </c>
      <c r="X100" s="10">
        <v>4998</v>
      </c>
      <c r="Y100" s="10">
        <v>20806</v>
      </c>
      <c r="Z100" s="10">
        <v>2348</v>
      </c>
      <c r="AA100" s="10">
        <v>10291</v>
      </c>
      <c r="AB100" s="10"/>
      <c r="AC100" s="10"/>
      <c r="AD100" s="10"/>
      <c r="AE100" s="10"/>
      <c r="AF100" s="10"/>
      <c r="AG100" s="10">
        <v>900</v>
      </c>
      <c r="AH100" s="10"/>
      <c r="AI100" s="10"/>
      <c r="AJ100" s="10">
        <v>14453.72</v>
      </c>
      <c r="AK100" s="10">
        <v>14717.04</v>
      </c>
      <c r="AL100" s="10"/>
      <c r="AM100" s="10"/>
      <c r="AN100" s="10"/>
      <c r="AO100" s="10"/>
      <c r="AP100" s="10"/>
      <c r="AQ100" s="10"/>
      <c r="AR100" s="10">
        <v>35641</v>
      </c>
      <c r="AS100" s="10">
        <v>83911</v>
      </c>
      <c r="AT100" s="10"/>
      <c r="AU100" s="10"/>
      <c r="AV100" s="10">
        <v>14769</v>
      </c>
      <c r="AW100" s="10">
        <v>27885</v>
      </c>
      <c r="AX100" s="10"/>
      <c r="AY100" s="10">
        <v>2</v>
      </c>
      <c r="AZ100" s="10"/>
      <c r="BA100" s="10"/>
      <c r="BB100" s="10">
        <v>10</v>
      </c>
      <c r="BC100" s="10">
        <v>-13</v>
      </c>
      <c r="BD100" s="10">
        <v>7268</v>
      </c>
      <c r="BE100" s="10">
        <v>21346</v>
      </c>
      <c r="BF100" s="10">
        <v>-455</v>
      </c>
      <c r="BG100" s="10">
        <v>4281</v>
      </c>
      <c r="BH100" s="10">
        <v>39818</v>
      </c>
      <c r="BI100" s="10">
        <v>55454</v>
      </c>
      <c r="BJ100" s="10">
        <v>6015</v>
      </c>
      <c r="BK100" s="10">
        <v>10874</v>
      </c>
      <c r="BL100" s="42">
        <f t="shared" si="15"/>
        <v>297526.37</v>
      </c>
      <c r="BM100" s="42">
        <f t="shared" si="16"/>
        <v>876888.15</v>
      </c>
    </row>
    <row r="101" spans="1:65" x14ac:dyDescent="0.25">
      <c r="A101" s="5"/>
    </row>
    <row r="102" spans="1:65" x14ac:dyDescent="0.25">
      <c r="A102" s="18" t="s">
        <v>189</v>
      </c>
    </row>
    <row r="103" spans="1:65" x14ac:dyDescent="0.25">
      <c r="A103" s="3" t="s">
        <v>0</v>
      </c>
      <c r="B103" s="127" t="s">
        <v>1</v>
      </c>
      <c r="C103" s="128"/>
      <c r="D103" s="127" t="s">
        <v>232</v>
      </c>
      <c r="E103" s="128"/>
      <c r="F103" s="127" t="s">
        <v>2</v>
      </c>
      <c r="G103" s="128"/>
      <c r="H103" s="127" t="s">
        <v>3</v>
      </c>
      <c r="I103" s="128"/>
      <c r="J103" s="127" t="s">
        <v>241</v>
      </c>
      <c r="K103" s="128"/>
      <c r="L103" s="127" t="s">
        <v>233</v>
      </c>
      <c r="M103" s="128"/>
      <c r="N103" s="127" t="s">
        <v>244</v>
      </c>
      <c r="O103" s="128"/>
      <c r="P103" s="127" t="s">
        <v>5</v>
      </c>
      <c r="Q103" s="128"/>
      <c r="R103" s="127" t="s">
        <v>4</v>
      </c>
      <c r="S103" s="128"/>
      <c r="T103" s="127" t="s">
        <v>6</v>
      </c>
      <c r="U103" s="128"/>
      <c r="V103" s="127" t="s">
        <v>7</v>
      </c>
      <c r="W103" s="128"/>
      <c r="X103" s="127" t="s">
        <v>8</v>
      </c>
      <c r="Y103" s="128"/>
      <c r="Z103" s="127" t="s">
        <v>9</v>
      </c>
      <c r="AA103" s="128"/>
      <c r="AB103" s="127" t="s">
        <v>240</v>
      </c>
      <c r="AC103" s="128"/>
      <c r="AD103" s="127" t="s">
        <v>10</v>
      </c>
      <c r="AE103" s="128"/>
      <c r="AF103" s="127" t="s">
        <v>11</v>
      </c>
      <c r="AG103" s="128"/>
      <c r="AH103" s="127" t="s">
        <v>234</v>
      </c>
      <c r="AI103" s="128"/>
      <c r="AJ103" s="127" t="s">
        <v>12</v>
      </c>
      <c r="AK103" s="128"/>
      <c r="AL103" s="127" t="s">
        <v>235</v>
      </c>
      <c r="AM103" s="128"/>
      <c r="AN103" s="127" t="s">
        <v>293</v>
      </c>
      <c r="AO103" s="128"/>
      <c r="AP103" s="127" t="s">
        <v>236</v>
      </c>
      <c r="AQ103" s="128"/>
      <c r="AR103" s="127" t="s">
        <v>239</v>
      </c>
      <c r="AS103" s="128"/>
      <c r="AT103" s="127" t="s">
        <v>13</v>
      </c>
      <c r="AU103" s="128"/>
      <c r="AV103" s="127" t="s">
        <v>14</v>
      </c>
      <c r="AW103" s="128"/>
      <c r="AX103" s="127" t="s">
        <v>15</v>
      </c>
      <c r="AY103" s="128"/>
      <c r="AZ103" s="127" t="s">
        <v>16</v>
      </c>
      <c r="BA103" s="128"/>
      <c r="BB103" s="127" t="s">
        <v>17</v>
      </c>
      <c r="BC103" s="128"/>
      <c r="BD103" s="127" t="s">
        <v>237</v>
      </c>
      <c r="BE103" s="128"/>
      <c r="BF103" s="127" t="s">
        <v>238</v>
      </c>
      <c r="BG103" s="128"/>
      <c r="BH103" s="127" t="s">
        <v>18</v>
      </c>
      <c r="BI103" s="128"/>
      <c r="BJ103" s="127" t="s">
        <v>19</v>
      </c>
      <c r="BK103" s="128"/>
      <c r="BL103" s="129" t="s">
        <v>20</v>
      </c>
      <c r="BM103" s="130"/>
    </row>
    <row r="104" spans="1:65" ht="30" x14ac:dyDescent="0.25">
      <c r="A104" s="3"/>
      <c r="B104" s="32" t="s">
        <v>299</v>
      </c>
      <c r="C104" s="33" t="s">
        <v>298</v>
      </c>
      <c r="D104" s="32" t="s">
        <v>299</v>
      </c>
      <c r="E104" s="33" t="s">
        <v>298</v>
      </c>
      <c r="F104" s="32" t="s">
        <v>299</v>
      </c>
      <c r="G104" s="33" t="s">
        <v>298</v>
      </c>
      <c r="H104" s="32" t="s">
        <v>299</v>
      </c>
      <c r="I104" s="33" t="s">
        <v>298</v>
      </c>
      <c r="J104" s="32" t="s">
        <v>299</v>
      </c>
      <c r="K104" s="33" t="s">
        <v>298</v>
      </c>
      <c r="L104" s="32" t="s">
        <v>299</v>
      </c>
      <c r="M104" s="33" t="s">
        <v>298</v>
      </c>
      <c r="N104" s="32" t="s">
        <v>299</v>
      </c>
      <c r="O104" s="33" t="s">
        <v>298</v>
      </c>
      <c r="P104" s="32" t="s">
        <v>299</v>
      </c>
      <c r="Q104" s="33" t="s">
        <v>298</v>
      </c>
      <c r="R104" s="32" t="s">
        <v>299</v>
      </c>
      <c r="S104" s="33" t="s">
        <v>298</v>
      </c>
      <c r="T104" s="32" t="s">
        <v>299</v>
      </c>
      <c r="U104" s="33" t="s">
        <v>298</v>
      </c>
      <c r="V104" s="32" t="s">
        <v>299</v>
      </c>
      <c r="W104" s="33" t="s">
        <v>298</v>
      </c>
      <c r="X104" s="32" t="s">
        <v>299</v>
      </c>
      <c r="Y104" s="33" t="s">
        <v>298</v>
      </c>
      <c r="Z104" s="32" t="s">
        <v>299</v>
      </c>
      <c r="AA104" s="33" t="s">
        <v>298</v>
      </c>
      <c r="AB104" s="32" t="s">
        <v>299</v>
      </c>
      <c r="AC104" s="33" t="s">
        <v>298</v>
      </c>
      <c r="AD104" s="32" t="s">
        <v>299</v>
      </c>
      <c r="AE104" s="33" t="s">
        <v>298</v>
      </c>
      <c r="AF104" s="32" t="s">
        <v>299</v>
      </c>
      <c r="AG104" s="33" t="s">
        <v>298</v>
      </c>
      <c r="AH104" s="32" t="s">
        <v>299</v>
      </c>
      <c r="AI104" s="33" t="s">
        <v>298</v>
      </c>
      <c r="AJ104" s="32" t="s">
        <v>299</v>
      </c>
      <c r="AK104" s="33" t="s">
        <v>298</v>
      </c>
      <c r="AL104" s="32" t="s">
        <v>299</v>
      </c>
      <c r="AM104" s="33" t="s">
        <v>298</v>
      </c>
      <c r="AN104" s="32" t="s">
        <v>299</v>
      </c>
      <c r="AO104" s="33" t="s">
        <v>298</v>
      </c>
      <c r="AP104" s="32" t="s">
        <v>299</v>
      </c>
      <c r="AQ104" s="33" t="s">
        <v>298</v>
      </c>
      <c r="AR104" s="32" t="s">
        <v>299</v>
      </c>
      <c r="AS104" s="33" t="s">
        <v>298</v>
      </c>
      <c r="AT104" s="32" t="s">
        <v>299</v>
      </c>
      <c r="AU104" s="33" t="s">
        <v>298</v>
      </c>
      <c r="AV104" s="32" t="s">
        <v>299</v>
      </c>
      <c r="AW104" s="33" t="s">
        <v>298</v>
      </c>
      <c r="AX104" s="32" t="s">
        <v>299</v>
      </c>
      <c r="AY104" s="33" t="s">
        <v>298</v>
      </c>
      <c r="AZ104" s="32" t="s">
        <v>299</v>
      </c>
      <c r="BA104" s="33" t="s">
        <v>298</v>
      </c>
      <c r="BB104" s="32" t="s">
        <v>299</v>
      </c>
      <c r="BC104" s="33" t="s">
        <v>298</v>
      </c>
      <c r="BD104" s="32" t="s">
        <v>299</v>
      </c>
      <c r="BE104" s="33" t="s">
        <v>298</v>
      </c>
      <c r="BF104" s="32" t="s">
        <v>299</v>
      </c>
      <c r="BG104" s="33" t="s">
        <v>298</v>
      </c>
      <c r="BH104" s="32" t="s">
        <v>299</v>
      </c>
      <c r="BI104" s="33" t="s">
        <v>298</v>
      </c>
      <c r="BJ104" s="32" t="s">
        <v>299</v>
      </c>
      <c r="BK104" s="33" t="s">
        <v>298</v>
      </c>
      <c r="BL104" s="32" t="s">
        <v>299</v>
      </c>
      <c r="BM104" s="33" t="s">
        <v>298</v>
      </c>
    </row>
    <row r="105" spans="1:65" x14ac:dyDescent="0.25">
      <c r="A105" s="2" t="s">
        <v>273</v>
      </c>
      <c r="B105" s="9">
        <f>B116-B94-B83-B72-B50-B39-B28-B17-B6-B61</f>
        <v>604</v>
      </c>
      <c r="C105" s="9">
        <f t="shared" ref="C105:BK109" si="17">C116-C94-C83-C72-C50-C39-C28-C17-C6-C61</f>
        <v>1398</v>
      </c>
      <c r="D105" s="9">
        <f t="shared" si="17"/>
        <v>67</v>
      </c>
      <c r="E105" s="9">
        <f t="shared" si="17"/>
        <v>264</v>
      </c>
      <c r="F105" s="9">
        <f t="shared" si="17"/>
        <v>0</v>
      </c>
      <c r="G105" s="9">
        <f t="shared" si="17"/>
        <v>0</v>
      </c>
      <c r="H105" s="9">
        <f t="shared" si="17"/>
        <v>9282</v>
      </c>
      <c r="I105" s="9">
        <f t="shared" si="17"/>
        <v>25537</v>
      </c>
      <c r="J105" s="9">
        <f t="shared" si="17"/>
        <v>762</v>
      </c>
      <c r="K105" s="9">
        <f t="shared" si="17"/>
        <v>1508</v>
      </c>
      <c r="L105" s="9">
        <f t="shared" si="17"/>
        <v>456</v>
      </c>
      <c r="M105" s="9">
        <f t="shared" si="17"/>
        <v>1051</v>
      </c>
      <c r="N105" s="9">
        <f t="shared" si="17"/>
        <v>12681</v>
      </c>
      <c r="O105" s="9">
        <f t="shared" si="17"/>
        <v>28450</v>
      </c>
      <c r="P105" s="9">
        <f t="shared" si="17"/>
        <v>16593.189999999999</v>
      </c>
      <c r="Q105" s="9">
        <f t="shared" ref="Q105" si="18">Q116-Q94-Q83-Q72-Q50-Q39-Q28-Q17-Q6-Q61</f>
        <v>48125.35</v>
      </c>
      <c r="R105" s="9">
        <f t="shared" si="17"/>
        <v>444.44999999999953</v>
      </c>
      <c r="S105" s="9">
        <f t="shared" si="17"/>
        <v>1157.3999999999971</v>
      </c>
      <c r="T105" s="9">
        <f t="shared" si="17"/>
        <v>5930.8100000000022</v>
      </c>
      <c r="U105" s="9">
        <f t="shared" si="17"/>
        <v>16398.340000000007</v>
      </c>
      <c r="V105" s="9">
        <f t="shared" si="17"/>
        <v>4443</v>
      </c>
      <c r="W105" s="9">
        <f t="shared" si="17"/>
        <v>15906</v>
      </c>
      <c r="X105" s="9">
        <f t="shared" si="17"/>
        <v>13790</v>
      </c>
      <c r="Y105" s="9">
        <f t="shared" si="17"/>
        <v>29783</v>
      </c>
      <c r="Z105" s="9">
        <f t="shared" si="17"/>
        <v>3702</v>
      </c>
      <c r="AA105" s="9">
        <f t="shared" si="17"/>
        <v>11769</v>
      </c>
      <c r="AB105" s="9">
        <f t="shared" si="17"/>
        <v>50</v>
      </c>
      <c r="AC105" s="9">
        <f t="shared" si="17"/>
        <v>149</v>
      </c>
      <c r="AD105" s="9">
        <f t="shared" si="17"/>
        <v>687</v>
      </c>
      <c r="AE105" s="9">
        <f t="shared" si="17"/>
        <v>1970</v>
      </c>
      <c r="AF105" s="9">
        <f t="shared" si="17"/>
        <v>12</v>
      </c>
      <c r="AG105" s="9">
        <f t="shared" si="17"/>
        <v>30841</v>
      </c>
      <c r="AH105" s="9">
        <f t="shared" si="17"/>
        <v>1.3899999999994179</v>
      </c>
      <c r="AI105" s="9">
        <f t="shared" si="17"/>
        <v>21</v>
      </c>
      <c r="AJ105" s="9">
        <f t="shared" si="17"/>
        <v>4211.2499999999645</v>
      </c>
      <c r="AK105" s="9">
        <f t="shared" si="17"/>
        <v>11835.499999999989</v>
      </c>
      <c r="AL105" s="9">
        <f t="shared" si="17"/>
        <v>55</v>
      </c>
      <c r="AM105" s="9">
        <f t="shared" si="17"/>
        <v>135</v>
      </c>
      <c r="AN105" s="9">
        <f t="shared" si="17"/>
        <v>0</v>
      </c>
      <c r="AO105" s="9">
        <f t="shared" si="17"/>
        <v>1</v>
      </c>
      <c r="AP105" s="9">
        <f t="shared" si="17"/>
        <v>37</v>
      </c>
      <c r="AQ105" s="9">
        <f t="shared" ref="AQ105" si="19">AQ116-AQ94-AQ83-AQ72-AQ50-AQ39-AQ28-AQ17-AQ6-AQ61</f>
        <v>59</v>
      </c>
      <c r="AR105" s="9">
        <f t="shared" si="17"/>
        <v>1347</v>
      </c>
      <c r="AS105" s="9">
        <f t="shared" si="17"/>
        <v>4906</v>
      </c>
      <c r="AT105" s="9">
        <f t="shared" si="17"/>
        <v>128</v>
      </c>
      <c r="AU105" s="9">
        <f t="shared" si="17"/>
        <v>315</v>
      </c>
      <c r="AV105" s="9">
        <f t="shared" si="17"/>
        <v>682</v>
      </c>
      <c r="AW105" s="9">
        <f t="shared" si="17"/>
        <v>1732</v>
      </c>
      <c r="AX105" s="9">
        <f t="shared" si="17"/>
        <v>54</v>
      </c>
      <c r="AY105" s="9">
        <f t="shared" si="17"/>
        <v>305</v>
      </c>
      <c r="AZ105" s="9">
        <f t="shared" si="17"/>
        <v>11</v>
      </c>
      <c r="BA105" s="9">
        <f t="shared" si="17"/>
        <v>62</v>
      </c>
      <c r="BB105" s="9">
        <f t="shared" si="17"/>
        <v>7688</v>
      </c>
      <c r="BC105" s="9">
        <f t="shared" si="17"/>
        <v>17473</v>
      </c>
      <c r="BD105" s="9">
        <f t="shared" si="17"/>
        <v>15077</v>
      </c>
      <c r="BE105" s="9">
        <f t="shared" si="17"/>
        <v>47545</v>
      </c>
      <c r="BF105" s="9">
        <f t="shared" si="17"/>
        <v>7339</v>
      </c>
      <c r="BG105" s="9">
        <f t="shared" si="17"/>
        <v>18333</v>
      </c>
      <c r="BH105" s="9">
        <f t="shared" si="17"/>
        <v>6835</v>
      </c>
      <c r="BI105" s="9">
        <f t="shared" si="17"/>
        <v>17681</v>
      </c>
      <c r="BJ105" s="9">
        <f t="shared" si="17"/>
        <v>560</v>
      </c>
      <c r="BK105" s="9">
        <f t="shared" si="17"/>
        <v>1380</v>
      </c>
      <c r="BL105" s="46">
        <f t="shared" ref="BL105:BL111" si="20">SUM(B105+D105+F105+H105+J105+L105+N105+P105+R105+T105+V105+X105+Z105+AB105+AD105+AF105+AH105+AJ105+AL105+AN105+AP105+AR105+AT105+AV105+AX105+AZ105+BB105+BD105+BF105+BH105+BJ105)</f>
        <v>113530.08999999998</v>
      </c>
      <c r="BM105" s="46">
        <f t="shared" ref="BM105:BM111" si="21">SUM(C105+E105+G105+I105+K105+M105+O105+Q105+S105+U105+W105+Y105+AA105+AC105+AE105+AG105+AI105+AK105+AM105+AO105+AQ105+AS105+AU105+AW105+AY105+BA105+BC105+BE105+BG105+BI105+BK105)</f>
        <v>336090.59</v>
      </c>
    </row>
    <row r="106" spans="1:65" x14ac:dyDescent="0.25">
      <c r="A106" s="2" t="s">
        <v>274</v>
      </c>
      <c r="B106" s="9">
        <f t="shared" ref="B106:P111" si="22">B117-B95-B84-B73-B51-B40-B29-B18-B7-B62</f>
        <v>0</v>
      </c>
      <c r="C106" s="9">
        <f t="shared" si="22"/>
        <v>0</v>
      </c>
      <c r="D106" s="9">
        <f t="shared" si="22"/>
        <v>0</v>
      </c>
      <c r="E106" s="9">
        <f t="shared" si="22"/>
        <v>0</v>
      </c>
      <c r="F106" s="9">
        <f t="shared" si="22"/>
        <v>0</v>
      </c>
      <c r="G106" s="9">
        <f t="shared" si="22"/>
        <v>0</v>
      </c>
      <c r="H106" s="9">
        <f t="shared" si="22"/>
        <v>0</v>
      </c>
      <c r="I106" s="9">
        <f t="shared" si="22"/>
        <v>0</v>
      </c>
      <c r="J106" s="9">
        <f t="shared" si="22"/>
        <v>0</v>
      </c>
      <c r="K106" s="9">
        <f t="shared" si="22"/>
        <v>0</v>
      </c>
      <c r="L106" s="9">
        <f t="shared" si="22"/>
        <v>0</v>
      </c>
      <c r="M106" s="9">
        <f t="shared" si="22"/>
        <v>0</v>
      </c>
      <c r="N106" s="9">
        <f t="shared" si="22"/>
        <v>267</v>
      </c>
      <c r="O106" s="9">
        <f t="shared" si="22"/>
        <v>658</v>
      </c>
      <c r="P106" s="9">
        <f t="shared" si="22"/>
        <v>3521.05</v>
      </c>
      <c r="Q106" s="9">
        <f t="shared" ref="Q106" si="23">Q117-Q95-Q84-Q73-Q51-Q40-Q29-Q18-Q7-Q62</f>
        <v>17553.400000000001</v>
      </c>
      <c r="R106" s="9">
        <f t="shared" si="17"/>
        <v>-1.0000000000031761E-2</v>
      </c>
      <c r="S106" s="9">
        <f t="shared" si="17"/>
        <v>-7.1054273576010019E-15</v>
      </c>
      <c r="T106" s="9">
        <f t="shared" si="17"/>
        <v>-2.2737367544323206E-13</v>
      </c>
      <c r="U106" s="9">
        <f t="shared" si="17"/>
        <v>-9.9999999999909051E-3</v>
      </c>
      <c r="V106" s="9">
        <f t="shared" si="17"/>
        <v>2</v>
      </c>
      <c r="W106" s="9">
        <f t="shared" si="17"/>
        <v>1</v>
      </c>
      <c r="X106" s="9">
        <f t="shared" si="17"/>
        <v>0</v>
      </c>
      <c r="Y106" s="9">
        <f t="shared" si="17"/>
        <v>0</v>
      </c>
      <c r="Z106" s="9">
        <f t="shared" si="17"/>
        <v>0</v>
      </c>
      <c r="AA106" s="9">
        <f t="shared" si="17"/>
        <v>0</v>
      </c>
      <c r="AB106" s="9">
        <f t="shared" si="17"/>
        <v>5</v>
      </c>
      <c r="AC106" s="9">
        <f t="shared" si="17"/>
        <v>6</v>
      </c>
      <c r="AD106" s="9">
        <f t="shared" si="17"/>
        <v>0</v>
      </c>
      <c r="AE106" s="9">
        <f t="shared" si="17"/>
        <v>0</v>
      </c>
      <c r="AF106" s="9">
        <f t="shared" si="17"/>
        <v>0</v>
      </c>
      <c r="AG106" s="9">
        <f t="shared" si="17"/>
        <v>0</v>
      </c>
      <c r="AH106" s="9">
        <f t="shared" si="17"/>
        <v>0</v>
      </c>
      <c r="AI106" s="9">
        <f t="shared" si="17"/>
        <v>0</v>
      </c>
      <c r="AJ106" s="9">
        <f t="shared" si="17"/>
        <v>135.80999999999995</v>
      </c>
      <c r="AK106" s="9">
        <f t="shared" si="17"/>
        <v>651.92999999999665</v>
      </c>
      <c r="AL106" s="9">
        <f t="shared" si="17"/>
        <v>0</v>
      </c>
      <c r="AM106" s="9">
        <f t="shared" si="17"/>
        <v>0</v>
      </c>
      <c r="AN106" s="9">
        <f t="shared" si="17"/>
        <v>0</v>
      </c>
      <c r="AO106" s="9">
        <f t="shared" si="17"/>
        <v>0</v>
      </c>
      <c r="AP106" s="9">
        <f t="shared" si="17"/>
        <v>0</v>
      </c>
      <c r="AQ106" s="9">
        <f t="shared" ref="AQ106" si="24">AQ117-AQ95-AQ84-AQ73-AQ51-AQ40-AQ29-AQ18-AQ7-AQ62</f>
        <v>0</v>
      </c>
      <c r="AR106" s="9">
        <f t="shared" si="17"/>
        <v>0</v>
      </c>
      <c r="AS106" s="9">
        <f t="shared" si="17"/>
        <v>1</v>
      </c>
      <c r="AT106" s="9">
        <f t="shared" si="17"/>
        <v>0</v>
      </c>
      <c r="AU106" s="9">
        <f t="shared" si="17"/>
        <v>0</v>
      </c>
      <c r="AV106" s="9">
        <f t="shared" si="17"/>
        <v>0</v>
      </c>
      <c r="AW106" s="9">
        <f t="shared" si="17"/>
        <v>0</v>
      </c>
      <c r="AX106" s="9">
        <f t="shared" si="17"/>
        <v>0</v>
      </c>
      <c r="AY106" s="9">
        <f t="shared" si="17"/>
        <v>0</v>
      </c>
      <c r="AZ106" s="9">
        <f t="shared" si="17"/>
        <v>0</v>
      </c>
      <c r="BA106" s="9">
        <f t="shared" si="17"/>
        <v>0</v>
      </c>
      <c r="BB106" s="9">
        <f t="shared" si="17"/>
        <v>0</v>
      </c>
      <c r="BC106" s="9">
        <f t="shared" si="17"/>
        <v>1</v>
      </c>
      <c r="BD106" s="9">
        <f t="shared" si="17"/>
        <v>65</v>
      </c>
      <c r="BE106" s="9">
        <f t="shared" si="17"/>
        <v>971</v>
      </c>
      <c r="BF106" s="9">
        <f t="shared" si="17"/>
        <v>143</v>
      </c>
      <c r="BG106" s="9">
        <f t="shared" si="17"/>
        <v>900</v>
      </c>
      <c r="BH106" s="9">
        <f t="shared" si="17"/>
        <v>5</v>
      </c>
      <c r="BI106" s="9">
        <f t="shared" si="17"/>
        <v>397</v>
      </c>
      <c r="BJ106" s="9">
        <f t="shared" si="17"/>
        <v>0</v>
      </c>
      <c r="BK106" s="9">
        <f t="shared" si="17"/>
        <v>0</v>
      </c>
      <c r="BL106" s="46">
        <f t="shared" si="20"/>
        <v>4143.8500000000004</v>
      </c>
      <c r="BM106" s="46">
        <f t="shared" si="21"/>
        <v>21140.32</v>
      </c>
    </row>
    <row r="107" spans="1:65" x14ac:dyDescent="0.25">
      <c r="A107" s="2" t="s">
        <v>275</v>
      </c>
      <c r="B107" s="9">
        <f t="shared" si="22"/>
        <v>259</v>
      </c>
      <c r="C107" s="9">
        <f t="shared" si="17"/>
        <v>609</v>
      </c>
      <c r="D107" s="9">
        <f t="shared" si="17"/>
        <v>3</v>
      </c>
      <c r="E107" s="9">
        <f t="shared" si="17"/>
        <v>11</v>
      </c>
      <c r="F107" s="9">
        <f t="shared" si="17"/>
        <v>0</v>
      </c>
      <c r="G107" s="9">
        <f t="shared" si="17"/>
        <v>0</v>
      </c>
      <c r="H107" s="9">
        <f t="shared" si="17"/>
        <v>-5002</v>
      </c>
      <c r="I107" s="9">
        <f t="shared" si="17"/>
        <v>-14378</v>
      </c>
      <c r="J107" s="9">
        <f t="shared" si="17"/>
        <v>118</v>
      </c>
      <c r="K107" s="9">
        <f t="shared" si="17"/>
        <v>228</v>
      </c>
      <c r="L107" s="9">
        <f t="shared" si="17"/>
        <v>58</v>
      </c>
      <c r="M107" s="9">
        <f t="shared" si="17"/>
        <v>117</v>
      </c>
      <c r="N107" s="9">
        <f t="shared" si="17"/>
        <v>6303</v>
      </c>
      <c r="O107" s="9">
        <f t="shared" si="17"/>
        <v>13352</v>
      </c>
      <c r="P107" s="9">
        <f t="shared" si="17"/>
        <v>2922.83</v>
      </c>
      <c r="Q107" s="9">
        <f t="shared" ref="Q107" si="25">Q118-Q96-Q85-Q74-Q52-Q41-Q30-Q19-Q8-Q63</f>
        <v>5913.76</v>
      </c>
      <c r="R107" s="9">
        <f t="shared" si="17"/>
        <v>19.489999999999966</v>
      </c>
      <c r="S107" s="9">
        <f t="shared" si="17"/>
        <v>56.530000000000172</v>
      </c>
      <c r="T107" s="9">
        <f t="shared" si="17"/>
        <v>2172.9899999999984</v>
      </c>
      <c r="U107" s="9">
        <f t="shared" si="17"/>
        <v>5369.23</v>
      </c>
      <c r="V107" s="9">
        <f t="shared" si="17"/>
        <v>-1492</v>
      </c>
      <c r="W107" s="9">
        <f t="shared" si="17"/>
        <v>-6958</v>
      </c>
      <c r="X107" s="9">
        <f t="shared" si="17"/>
        <v>6103</v>
      </c>
      <c r="Y107" s="9">
        <f t="shared" si="17"/>
        <v>10242</v>
      </c>
      <c r="Z107" s="9">
        <f t="shared" si="17"/>
        <v>983</v>
      </c>
      <c r="AA107" s="9">
        <f t="shared" si="17"/>
        <v>3062</v>
      </c>
      <c r="AB107" s="9">
        <f t="shared" si="17"/>
        <v>37</v>
      </c>
      <c r="AC107" s="9">
        <f t="shared" si="17"/>
        <v>100</v>
      </c>
      <c r="AD107" s="9">
        <f t="shared" si="17"/>
        <v>171</v>
      </c>
      <c r="AE107" s="9">
        <f t="shared" si="17"/>
        <v>538</v>
      </c>
      <c r="AF107" s="9">
        <f t="shared" si="17"/>
        <v>-8</v>
      </c>
      <c r="AG107" s="9">
        <f t="shared" si="17"/>
        <v>-12648</v>
      </c>
      <c r="AH107" s="9">
        <f t="shared" si="17"/>
        <v>6.0000000000059117E-2</v>
      </c>
      <c r="AI107" s="9">
        <f t="shared" si="17"/>
        <v>0.99999999999954525</v>
      </c>
      <c r="AJ107" s="9">
        <f t="shared" si="17"/>
        <v>647.20999999999583</v>
      </c>
      <c r="AK107" s="9">
        <f t="shared" si="17"/>
        <v>277.00999999998805</v>
      </c>
      <c r="AL107" s="9">
        <f t="shared" si="17"/>
        <v>-3</v>
      </c>
      <c r="AM107" s="9">
        <f t="shared" si="17"/>
        <v>-7</v>
      </c>
      <c r="AN107" s="9">
        <f t="shared" si="17"/>
        <v>0</v>
      </c>
      <c r="AO107" s="9">
        <f t="shared" si="17"/>
        <v>0</v>
      </c>
      <c r="AP107" s="9">
        <f t="shared" si="17"/>
        <v>3</v>
      </c>
      <c r="AQ107" s="9">
        <f t="shared" ref="AQ107" si="26">AQ118-AQ96-AQ85-AQ74-AQ52-AQ41-AQ30-AQ19-AQ8-AQ63</f>
        <v>6</v>
      </c>
      <c r="AR107" s="9">
        <f t="shared" si="17"/>
        <v>149</v>
      </c>
      <c r="AS107" s="9">
        <f t="shared" si="17"/>
        <v>1840</v>
      </c>
      <c r="AT107" s="9">
        <f t="shared" si="17"/>
        <v>48</v>
      </c>
      <c r="AU107" s="9">
        <f t="shared" si="17"/>
        <v>142</v>
      </c>
      <c r="AV107" s="9">
        <f t="shared" si="17"/>
        <v>137</v>
      </c>
      <c r="AW107" s="9">
        <f t="shared" si="17"/>
        <v>262</v>
      </c>
      <c r="AX107" s="9">
        <f t="shared" si="17"/>
        <v>15</v>
      </c>
      <c r="AY107" s="9">
        <f t="shared" si="17"/>
        <v>64</v>
      </c>
      <c r="AZ107" s="9">
        <f t="shared" si="17"/>
        <v>9</v>
      </c>
      <c r="BA107" s="9">
        <f t="shared" si="17"/>
        <v>48</v>
      </c>
      <c r="BB107" s="9">
        <f t="shared" si="17"/>
        <v>663</v>
      </c>
      <c r="BC107" s="9">
        <f t="shared" si="17"/>
        <v>3094</v>
      </c>
      <c r="BD107" s="9">
        <f t="shared" si="17"/>
        <v>3697</v>
      </c>
      <c r="BE107" s="9">
        <f t="shared" si="17"/>
        <v>12030</v>
      </c>
      <c r="BF107" s="9">
        <f t="shared" si="17"/>
        <v>-64</v>
      </c>
      <c r="BG107" s="9">
        <f t="shared" si="17"/>
        <v>1423</v>
      </c>
      <c r="BH107" s="9">
        <f t="shared" si="17"/>
        <v>671</v>
      </c>
      <c r="BI107" s="9">
        <f t="shared" si="17"/>
        <v>1719</v>
      </c>
      <c r="BJ107" s="9">
        <f t="shared" si="17"/>
        <v>102</v>
      </c>
      <c r="BK107" s="9">
        <f t="shared" si="17"/>
        <v>337</v>
      </c>
      <c r="BL107" s="46">
        <f t="shared" si="20"/>
        <v>18722.579999999994</v>
      </c>
      <c r="BM107" s="46">
        <f t="shared" si="21"/>
        <v>26850.529999999988</v>
      </c>
    </row>
    <row r="108" spans="1:65" s="7" customFormat="1" x14ac:dyDescent="0.25">
      <c r="A108" s="3" t="s">
        <v>276</v>
      </c>
      <c r="B108" s="10">
        <f t="shared" si="22"/>
        <v>344</v>
      </c>
      <c r="C108" s="10">
        <f t="shared" si="17"/>
        <v>789</v>
      </c>
      <c r="D108" s="10">
        <f t="shared" si="17"/>
        <v>65</v>
      </c>
      <c r="E108" s="10">
        <f t="shared" si="17"/>
        <v>253</v>
      </c>
      <c r="F108" s="10">
        <f t="shared" si="17"/>
        <v>0</v>
      </c>
      <c r="G108" s="10">
        <f t="shared" si="17"/>
        <v>0</v>
      </c>
      <c r="H108" s="10">
        <f t="shared" si="17"/>
        <v>4278</v>
      </c>
      <c r="I108" s="10">
        <f t="shared" si="17"/>
        <v>11160</v>
      </c>
      <c r="J108" s="10">
        <f t="shared" si="17"/>
        <v>644</v>
      </c>
      <c r="K108" s="10">
        <f t="shared" si="17"/>
        <v>1280</v>
      </c>
      <c r="L108" s="10">
        <f t="shared" si="17"/>
        <v>398</v>
      </c>
      <c r="M108" s="10">
        <f t="shared" si="17"/>
        <v>934</v>
      </c>
      <c r="N108" s="10">
        <f t="shared" si="17"/>
        <v>6645</v>
      </c>
      <c r="O108" s="10">
        <f t="shared" si="17"/>
        <v>15756</v>
      </c>
      <c r="P108" s="10">
        <f t="shared" si="17"/>
        <v>10149.31</v>
      </c>
      <c r="Q108" s="10">
        <f t="shared" ref="Q108" si="27">Q119-Q97-Q86-Q75-Q53-Q42-Q31-Q20-Q9-Q64</f>
        <v>24658.19</v>
      </c>
      <c r="R108" s="10">
        <f t="shared" si="17"/>
        <v>424.95000000000078</v>
      </c>
      <c r="S108" s="10">
        <f t="shared" si="17"/>
        <v>1100.869999999999</v>
      </c>
      <c r="T108" s="10">
        <f t="shared" si="17"/>
        <v>3757.8199999999997</v>
      </c>
      <c r="U108" s="10">
        <f t="shared" si="17"/>
        <v>11029.119999999984</v>
      </c>
      <c r="V108" s="10">
        <f t="shared" si="17"/>
        <v>2954</v>
      </c>
      <c r="W108" s="10">
        <f t="shared" si="17"/>
        <v>8952</v>
      </c>
      <c r="X108" s="10">
        <f t="shared" si="17"/>
        <v>7687</v>
      </c>
      <c r="Y108" s="10">
        <f t="shared" si="17"/>
        <v>19541</v>
      </c>
      <c r="Z108" s="10">
        <f t="shared" si="17"/>
        <v>2719</v>
      </c>
      <c r="AA108" s="10">
        <f t="shared" si="17"/>
        <v>8707</v>
      </c>
      <c r="AB108" s="10">
        <f t="shared" si="17"/>
        <v>17</v>
      </c>
      <c r="AC108" s="10">
        <f t="shared" si="17"/>
        <v>55</v>
      </c>
      <c r="AD108" s="10">
        <f t="shared" si="17"/>
        <v>518</v>
      </c>
      <c r="AE108" s="10">
        <f t="shared" si="17"/>
        <v>1430</v>
      </c>
      <c r="AF108" s="10">
        <f t="shared" si="17"/>
        <v>6</v>
      </c>
      <c r="AG108" s="10">
        <f t="shared" si="17"/>
        <v>18192</v>
      </c>
      <c r="AH108" s="10">
        <f t="shared" si="17"/>
        <v>1.3100000000013097</v>
      </c>
      <c r="AI108" s="10">
        <f t="shared" si="17"/>
        <v>20.019999999996799</v>
      </c>
      <c r="AJ108" s="10">
        <f t="shared" si="17"/>
        <v>3699.860000000012</v>
      </c>
      <c r="AK108" s="10">
        <f t="shared" si="17"/>
        <v>12210.409999999969</v>
      </c>
      <c r="AL108" s="10">
        <f t="shared" si="17"/>
        <v>52</v>
      </c>
      <c r="AM108" s="10">
        <f t="shared" si="17"/>
        <v>128</v>
      </c>
      <c r="AN108" s="10">
        <f t="shared" si="17"/>
        <v>0</v>
      </c>
      <c r="AO108" s="10">
        <f t="shared" si="17"/>
        <v>1</v>
      </c>
      <c r="AP108" s="10">
        <f t="shared" si="17"/>
        <v>36</v>
      </c>
      <c r="AQ108" s="10">
        <f t="shared" ref="AQ108" si="28">AQ119-AQ97-AQ86-AQ75-AQ53-AQ42-AQ31-AQ20-AQ9-AQ64</f>
        <v>51</v>
      </c>
      <c r="AR108" s="10">
        <f t="shared" si="17"/>
        <v>1198</v>
      </c>
      <c r="AS108" s="10">
        <f t="shared" si="17"/>
        <v>3068</v>
      </c>
      <c r="AT108" s="10">
        <f t="shared" si="17"/>
        <v>80</v>
      </c>
      <c r="AU108" s="10">
        <f t="shared" si="17"/>
        <v>173</v>
      </c>
      <c r="AV108" s="10">
        <f t="shared" si="17"/>
        <v>542</v>
      </c>
      <c r="AW108" s="10">
        <f t="shared" si="17"/>
        <v>1470</v>
      </c>
      <c r="AX108" s="10">
        <f t="shared" si="17"/>
        <v>39</v>
      </c>
      <c r="AY108" s="10">
        <f t="shared" si="17"/>
        <v>241</v>
      </c>
      <c r="AZ108" s="10">
        <f t="shared" si="17"/>
        <v>1</v>
      </c>
      <c r="BA108" s="10">
        <f t="shared" si="17"/>
        <v>14</v>
      </c>
      <c r="BB108" s="10">
        <f t="shared" si="17"/>
        <v>7025</v>
      </c>
      <c r="BC108" s="10">
        <f t="shared" si="17"/>
        <v>14378</v>
      </c>
      <c r="BD108" s="10">
        <f t="shared" si="17"/>
        <v>11447</v>
      </c>
      <c r="BE108" s="10">
        <f t="shared" si="17"/>
        <v>36488</v>
      </c>
      <c r="BF108" s="10">
        <f t="shared" si="17"/>
        <v>7545</v>
      </c>
      <c r="BG108" s="10">
        <f t="shared" si="17"/>
        <v>17810</v>
      </c>
      <c r="BH108" s="10">
        <f t="shared" si="17"/>
        <v>6171</v>
      </c>
      <c r="BI108" s="10">
        <f t="shared" si="17"/>
        <v>16362</v>
      </c>
      <c r="BJ108" s="10">
        <f t="shared" si="17"/>
        <v>456</v>
      </c>
      <c r="BK108" s="10">
        <f t="shared" si="17"/>
        <v>1041</v>
      </c>
      <c r="BL108" s="42">
        <f t="shared" si="20"/>
        <v>78900.250000000015</v>
      </c>
      <c r="BM108" s="42">
        <f t="shared" si="21"/>
        <v>227292.60999999996</v>
      </c>
    </row>
    <row r="109" spans="1:65" x14ac:dyDescent="0.25">
      <c r="A109" s="2" t="s">
        <v>277</v>
      </c>
      <c r="B109" s="9">
        <f t="shared" si="22"/>
        <v>497</v>
      </c>
      <c r="C109" s="9">
        <f t="shared" si="17"/>
        <v>497</v>
      </c>
      <c r="D109" s="9">
        <f t="shared" si="17"/>
        <v>118</v>
      </c>
      <c r="E109" s="9">
        <f t="shared" si="17"/>
        <v>118</v>
      </c>
      <c r="F109" s="9">
        <f t="shared" si="17"/>
        <v>0</v>
      </c>
      <c r="G109" s="9">
        <f t="shared" si="17"/>
        <v>0</v>
      </c>
      <c r="H109" s="9">
        <f t="shared" si="17"/>
        <v>28812</v>
      </c>
      <c r="I109" s="9">
        <f t="shared" si="17"/>
        <v>28812</v>
      </c>
      <c r="J109" s="9">
        <f t="shared" si="17"/>
        <v>5137</v>
      </c>
      <c r="K109" s="9">
        <f t="shared" si="17"/>
        <v>5137</v>
      </c>
      <c r="L109" s="9">
        <f t="shared" si="17"/>
        <v>1809</v>
      </c>
      <c r="M109" s="9">
        <f t="shared" si="17"/>
        <v>1809</v>
      </c>
      <c r="N109" s="9">
        <f t="shared" si="17"/>
        <v>19558</v>
      </c>
      <c r="O109" s="9">
        <f t="shared" si="17"/>
        <v>19558</v>
      </c>
      <c r="P109" s="9">
        <f t="shared" si="17"/>
        <v>-66833.73</v>
      </c>
      <c r="Q109" s="9">
        <f t="shared" ref="Q109" si="29">Q120-Q98-Q87-Q76-Q54-Q43-Q32-Q21-Q10-Q65</f>
        <v>587221.37</v>
      </c>
      <c r="R109" s="9">
        <f t="shared" si="17"/>
        <v>425.0200000000039</v>
      </c>
      <c r="S109" s="9">
        <f t="shared" si="17"/>
        <v>425.0200000000039</v>
      </c>
      <c r="T109" s="9">
        <f t="shared" si="17"/>
        <v>9955.6499999999778</v>
      </c>
      <c r="U109" s="9">
        <f t="shared" si="17"/>
        <v>9955.6499999999778</v>
      </c>
      <c r="V109" s="9">
        <f t="shared" si="17"/>
        <v>23598</v>
      </c>
      <c r="W109" s="9">
        <f t="shared" si="17"/>
        <v>23598</v>
      </c>
      <c r="X109" s="9">
        <f t="shared" si="17"/>
        <v>61515</v>
      </c>
      <c r="Y109" s="9">
        <f t="shared" si="17"/>
        <v>61515</v>
      </c>
      <c r="Z109" s="9">
        <f t="shared" si="17"/>
        <v>3424</v>
      </c>
      <c r="AA109" s="9">
        <f t="shared" si="17"/>
        <v>24011</v>
      </c>
      <c r="AB109" s="9">
        <f t="shared" si="17"/>
        <v>405</v>
      </c>
      <c r="AC109" s="9">
        <f t="shared" ref="C109:BK111" si="30">AC120-AC98-AC87-AC76-AC54-AC43-AC32-AC21-AC10-AC65</f>
        <v>405</v>
      </c>
      <c r="AD109" s="9">
        <f t="shared" si="30"/>
        <v>2018</v>
      </c>
      <c r="AE109" s="9">
        <f t="shared" si="30"/>
        <v>2018</v>
      </c>
      <c r="AF109" s="9">
        <f t="shared" si="30"/>
        <v>407</v>
      </c>
      <c r="AG109" s="9">
        <f t="shared" si="30"/>
        <v>407</v>
      </c>
      <c r="AH109" s="9">
        <f t="shared" si="30"/>
        <v>41.199999999998909</v>
      </c>
      <c r="AI109" s="9">
        <f t="shared" si="30"/>
        <v>41.180000000000291</v>
      </c>
      <c r="AJ109" s="9">
        <f t="shared" si="30"/>
        <v>4690.5000000000009</v>
      </c>
      <c r="AK109" s="9">
        <f t="shared" si="30"/>
        <v>68505.150000000067</v>
      </c>
      <c r="AL109" s="9">
        <f t="shared" si="30"/>
        <v>69</v>
      </c>
      <c r="AM109" s="9">
        <f t="shared" si="30"/>
        <v>69</v>
      </c>
      <c r="AN109" s="9">
        <f t="shared" si="30"/>
        <v>15</v>
      </c>
      <c r="AO109" s="9">
        <f t="shared" si="30"/>
        <v>15</v>
      </c>
      <c r="AP109" s="9">
        <f t="shared" si="30"/>
        <v>309</v>
      </c>
      <c r="AQ109" s="9">
        <f t="shared" ref="AQ109" si="31">AQ120-AQ98-AQ87-AQ76-AQ54-AQ43-AQ32-AQ21-AQ10-AQ65</f>
        <v>309</v>
      </c>
      <c r="AR109" s="9">
        <f t="shared" si="30"/>
        <v>10297</v>
      </c>
      <c r="AS109" s="9">
        <f t="shared" si="30"/>
        <v>10297</v>
      </c>
      <c r="AT109" s="9">
        <f t="shared" si="30"/>
        <v>4567</v>
      </c>
      <c r="AU109" s="9">
        <f t="shared" si="30"/>
        <v>4567</v>
      </c>
      <c r="AV109" s="9">
        <f t="shared" si="30"/>
        <v>6313</v>
      </c>
      <c r="AW109" s="9">
        <f t="shared" si="30"/>
        <v>6313</v>
      </c>
      <c r="AX109" s="9">
        <f t="shared" si="30"/>
        <v>2007</v>
      </c>
      <c r="AY109" s="9">
        <f t="shared" si="30"/>
        <v>2007</v>
      </c>
      <c r="AZ109" s="9">
        <f t="shared" si="30"/>
        <v>40</v>
      </c>
      <c r="BA109" s="9">
        <f t="shared" si="30"/>
        <v>41</v>
      </c>
      <c r="BB109" s="9">
        <f t="shared" si="30"/>
        <v>21573</v>
      </c>
      <c r="BC109" s="9">
        <f t="shared" si="30"/>
        <v>21573</v>
      </c>
      <c r="BD109" s="9">
        <f t="shared" si="30"/>
        <v>114939</v>
      </c>
      <c r="BE109" s="9">
        <f t="shared" si="30"/>
        <v>114939</v>
      </c>
      <c r="BF109" s="9">
        <f t="shared" si="30"/>
        <v>5999</v>
      </c>
      <c r="BG109" s="9">
        <f t="shared" si="30"/>
        <v>1370432</v>
      </c>
      <c r="BH109" s="9">
        <f t="shared" si="30"/>
        <v>0</v>
      </c>
      <c r="BI109" s="9">
        <f t="shared" si="30"/>
        <v>0</v>
      </c>
      <c r="BJ109" s="9">
        <f t="shared" si="30"/>
        <v>2506</v>
      </c>
      <c r="BK109" s="9">
        <f t="shared" si="30"/>
        <v>2506</v>
      </c>
      <c r="BL109" s="46">
        <f t="shared" si="20"/>
        <v>264210.64</v>
      </c>
      <c r="BM109" s="46">
        <f t="shared" si="21"/>
        <v>2367101.37</v>
      </c>
    </row>
    <row r="110" spans="1:65" ht="30" x14ac:dyDescent="0.25">
      <c r="A110" s="2" t="s">
        <v>278</v>
      </c>
      <c r="B110" s="9">
        <f t="shared" si="22"/>
        <v>414</v>
      </c>
      <c r="C110" s="9">
        <f t="shared" si="30"/>
        <v>239</v>
      </c>
      <c r="D110" s="9">
        <f t="shared" si="30"/>
        <v>274</v>
      </c>
      <c r="E110" s="9">
        <f t="shared" si="30"/>
        <v>447</v>
      </c>
      <c r="F110" s="9">
        <f t="shared" si="30"/>
        <v>0</v>
      </c>
      <c r="G110" s="9">
        <f t="shared" si="30"/>
        <v>0</v>
      </c>
      <c r="H110" s="9">
        <f t="shared" si="30"/>
        <v>27128</v>
      </c>
      <c r="I110" s="9">
        <f t="shared" si="30"/>
        <v>24549</v>
      </c>
      <c r="J110" s="9">
        <f t="shared" si="30"/>
        <v>4960</v>
      </c>
      <c r="K110" s="9">
        <f t="shared" si="30"/>
        <v>3828</v>
      </c>
      <c r="L110" s="9">
        <f t="shared" si="30"/>
        <v>1507</v>
      </c>
      <c r="M110" s="9">
        <f t="shared" si="30"/>
        <v>1248</v>
      </c>
      <c r="N110" s="9">
        <f t="shared" si="30"/>
        <v>19339</v>
      </c>
      <c r="O110" s="9">
        <f t="shared" si="30"/>
        <v>9838</v>
      </c>
      <c r="P110" s="9">
        <f t="shared" si="30"/>
        <v>0</v>
      </c>
      <c r="Q110" s="9">
        <f t="shared" ref="Q110" si="32">Q121-Q99-Q88-Q77-Q55-Q44-Q33-Q22-Q11-Q66</f>
        <v>699296.58</v>
      </c>
      <c r="R110" s="9">
        <f t="shared" si="30"/>
        <v>126.02999999999891</v>
      </c>
      <c r="S110" s="9">
        <f t="shared" si="30"/>
        <v>71.360000000000653</v>
      </c>
      <c r="T110" s="9">
        <f t="shared" si="30"/>
        <v>9910.7500000000309</v>
      </c>
      <c r="U110" s="9">
        <f t="shared" si="30"/>
        <v>10358.61999999999</v>
      </c>
      <c r="V110" s="9">
        <f t="shared" si="30"/>
        <v>-23567</v>
      </c>
      <c r="W110" s="9">
        <f t="shared" si="30"/>
        <v>-20109</v>
      </c>
      <c r="X110" s="9">
        <f t="shared" si="30"/>
        <v>60285</v>
      </c>
      <c r="Y110" s="9">
        <f t="shared" si="30"/>
        <v>52995</v>
      </c>
      <c r="Z110" s="9">
        <f t="shared" si="30"/>
        <v>0</v>
      </c>
      <c r="AA110" s="9">
        <f t="shared" si="30"/>
        <v>11800</v>
      </c>
      <c r="AB110" s="9">
        <f t="shared" si="30"/>
        <v>379</v>
      </c>
      <c r="AC110" s="9">
        <f t="shared" si="30"/>
        <v>310</v>
      </c>
      <c r="AD110" s="9">
        <f t="shared" si="30"/>
        <v>1995</v>
      </c>
      <c r="AE110" s="9">
        <f t="shared" si="30"/>
        <v>1772</v>
      </c>
      <c r="AF110" s="9">
        <f t="shared" si="30"/>
        <v>-385</v>
      </c>
      <c r="AG110" s="9">
        <f t="shared" si="30"/>
        <v>20917</v>
      </c>
      <c r="AH110" s="9">
        <f t="shared" si="30"/>
        <v>36.520000000000437</v>
      </c>
      <c r="AI110" s="9">
        <f t="shared" si="30"/>
        <v>44.950000000000728</v>
      </c>
      <c r="AJ110" s="9">
        <f t="shared" si="30"/>
        <v>0</v>
      </c>
      <c r="AK110" s="9">
        <f t="shared" si="30"/>
        <v>57613.349999999729</v>
      </c>
      <c r="AL110" s="9">
        <f t="shared" si="30"/>
        <v>-127</v>
      </c>
      <c r="AM110" s="9">
        <f t="shared" si="30"/>
        <v>-142</v>
      </c>
      <c r="AN110" s="9">
        <f t="shared" si="30"/>
        <v>6</v>
      </c>
      <c r="AO110" s="9">
        <f t="shared" si="30"/>
        <v>0</v>
      </c>
      <c r="AP110" s="9">
        <f t="shared" si="30"/>
        <v>273</v>
      </c>
      <c r="AQ110" s="9">
        <f t="shared" ref="AQ110" si="33">AQ121-AQ99-AQ88-AQ77-AQ55-AQ44-AQ33-AQ22-AQ11-AQ66</f>
        <v>271</v>
      </c>
      <c r="AR110" s="9">
        <f t="shared" si="30"/>
        <v>9627</v>
      </c>
      <c r="AS110" s="9">
        <f t="shared" si="30"/>
        <v>7986</v>
      </c>
      <c r="AT110" s="9">
        <f t="shared" si="30"/>
        <v>4502</v>
      </c>
      <c r="AU110" s="9">
        <f t="shared" si="30"/>
        <v>4364</v>
      </c>
      <c r="AV110" s="9">
        <f t="shared" si="30"/>
        <v>6361</v>
      </c>
      <c r="AW110" s="9">
        <f t="shared" si="30"/>
        <v>5637</v>
      </c>
      <c r="AX110" s="9">
        <f t="shared" si="30"/>
        <v>1948</v>
      </c>
      <c r="AY110" s="9">
        <f t="shared" si="30"/>
        <v>1858</v>
      </c>
      <c r="AZ110" s="9">
        <f t="shared" si="30"/>
        <v>52</v>
      </c>
      <c r="BA110" s="9">
        <f t="shared" si="30"/>
        <v>65</v>
      </c>
      <c r="BB110" s="9">
        <f t="shared" si="30"/>
        <v>21801</v>
      </c>
      <c r="BC110" s="9">
        <f t="shared" si="30"/>
        <v>16752</v>
      </c>
      <c r="BD110" s="9">
        <f t="shared" si="30"/>
        <v>108745</v>
      </c>
      <c r="BE110" s="9">
        <f t="shared" si="30"/>
        <v>100102</v>
      </c>
      <c r="BF110" s="9">
        <f t="shared" si="30"/>
        <v>0</v>
      </c>
      <c r="BG110" s="9">
        <f t="shared" si="30"/>
        <v>1294886</v>
      </c>
      <c r="BH110" s="9">
        <f t="shared" si="30"/>
        <v>0</v>
      </c>
      <c r="BI110" s="9">
        <f t="shared" si="30"/>
        <v>0</v>
      </c>
      <c r="BJ110" s="9">
        <f t="shared" si="30"/>
        <v>2361</v>
      </c>
      <c r="BK110" s="9">
        <f t="shared" si="30"/>
        <v>2660</v>
      </c>
      <c r="BL110" s="46">
        <f t="shared" si="20"/>
        <v>257951.30000000005</v>
      </c>
      <c r="BM110" s="46">
        <f t="shared" si="21"/>
        <v>2309657.8599999994</v>
      </c>
    </row>
    <row r="111" spans="1:65" s="7" customFormat="1" x14ac:dyDescent="0.25">
      <c r="A111" s="3" t="s">
        <v>279</v>
      </c>
      <c r="B111" s="10">
        <f t="shared" si="22"/>
        <v>427</v>
      </c>
      <c r="C111" s="10">
        <f t="shared" si="30"/>
        <v>1047</v>
      </c>
      <c r="D111" s="10">
        <f t="shared" si="30"/>
        <v>-90</v>
      </c>
      <c r="E111" s="10">
        <f t="shared" si="30"/>
        <v>-76</v>
      </c>
      <c r="F111" s="10">
        <f t="shared" si="30"/>
        <v>0</v>
      </c>
      <c r="G111" s="10">
        <f t="shared" si="30"/>
        <v>0</v>
      </c>
      <c r="H111" s="10">
        <f t="shared" si="30"/>
        <v>5961</v>
      </c>
      <c r="I111" s="10">
        <f t="shared" si="30"/>
        <v>15424</v>
      </c>
      <c r="J111" s="10">
        <f t="shared" si="30"/>
        <v>821</v>
      </c>
      <c r="K111" s="10">
        <f t="shared" si="30"/>
        <v>2589</v>
      </c>
      <c r="L111" s="10">
        <f t="shared" si="30"/>
        <v>699</v>
      </c>
      <c r="M111" s="10">
        <f t="shared" si="30"/>
        <v>1494</v>
      </c>
      <c r="N111" s="10">
        <f t="shared" si="30"/>
        <v>6864</v>
      </c>
      <c r="O111" s="10">
        <f t="shared" si="30"/>
        <v>25476</v>
      </c>
      <c r="P111" s="10">
        <f t="shared" si="30"/>
        <v>-56684.42</v>
      </c>
      <c r="Q111" s="10">
        <f t="shared" ref="Q111" si="34">Q122-Q100-Q89-Q78-Q56-Q45-Q34-Q23-Q12-Q67</f>
        <v>-87417.02</v>
      </c>
      <c r="R111" s="10">
        <f t="shared" si="30"/>
        <v>723.94000000000074</v>
      </c>
      <c r="S111" s="10">
        <f t="shared" si="30"/>
        <v>1454.5300000000013</v>
      </c>
      <c r="T111" s="10">
        <f t="shared" si="30"/>
        <v>3802.7300000000014</v>
      </c>
      <c r="U111" s="10">
        <f t="shared" si="30"/>
        <v>10626.129999999983</v>
      </c>
      <c r="V111" s="10">
        <f t="shared" si="30"/>
        <v>2986</v>
      </c>
      <c r="W111" s="10">
        <f t="shared" si="30"/>
        <v>12442</v>
      </c>
      <c r="X111" s="10">
        <f t="shared" si="30"/>
        <v>8917</v>
      </c>
      <c r="Y111" s="10">
        <f t="shared" si="30"/>
        <v>28061</v>
      </c>
      <c r="Z111" s="10">
        <f t="shared" si="30"/>
        <v>6143</v>
      </c>
      <c r="AA111" s="10">
        <f t="shared" si="30"/>
        <v>20918</v>
      </c>
      <c r="AB111" s="10">
        <f t="shared" si="30"/>
        <v>45</v>
      </c>
      <c r="AC111" s="10">
        <f t="shared" si="30"/>
        <v>148</v>
      </c>
      <c r="AD111" s="10">
        <f t="shared" si="30"/>
        <v>538</v>
      </c>
      <c r="AE111" s="10">
        <f t="shared" si="30"/>
        <v>1676</v>
      </c>
      <c r="AF111" s="10">
        <f t="shared" si="30"/>
        <v>29</v>
      </c>
      <c r="AG111" s="10">
        <f t="shared" si="30"/>
        <v>39515</v>
      </c>
      <c r="AH111" s="10">
        <f t="shared" si="30"/>
        <v>6</v>
      </c>
      <c r="AI111" s="10">
        <f t="shared" si="30"/>
        <v>16.269999999996799</v>
      </c>
      <c r="AJ111" s="10">
        <f t="shared" si="30"/>
        <v>8390.3499999999949</v>
      </c>
      <c r="AK111" s="10">
        <f t="shared" si="30"/>
        <v>23102.250000000058</v>
      </c>
      <c r="AL111" s="10">
        <f t="shared" si="30"/>
        <v>-6</v>
      </c>
      <c r="AM111" s="10">
        <f t="shared" si="30"/>
        <v>56</v>
      </c>
      <c r="AN111" s="10">
        <f t="shared" si="30"/>
        <v>10</v>
      </c>
      <c r="AO111" s="10">
        <f t="shared" si="30"/>
        <v>16</v>
      </c>
      <c r="AP111" s="10">
        <f t="shared" si="30"/>
        <v>74</v>
      </c>
      <c r="AQ111" s="10">
        <f t="shared" ref="AQ111" si="35">AQ122-AQ100-AQ89-AQ78-AQ56-AQ45-AQ34-AQ23-AQ12-AQ67</f>
        <v>93</v>
      </c>
      <c r="AR111" s="10">
        <f t="shared" si="30"/>
        <v>1865</v>
      </c>
      <c r="AS111" s="10">
        <f t="shared" si="30"/>
        <v>5378</v>
      </c>
      <c r="AT111" s="10">
        <f t="shared" si="30"/>
        <v>145</v>
      </c>
      <c r="AU111" s="10">
        <f t="shared" si="30"/>
        <v>378</v>
      </c>
      <c r="AV111" s="10">
        <f t="shared" si="30"/>
        <v>496</v>
      </c>
      <c r="AW111" s="10">
        <f t="shared" si="30"/>
        <v>2147</v>
      </c>
      <c r="AX111" s="10">
        <f t="shared" si="30"/>
        <v>99</v>
      </c>
      <c r="AY111" s="10">
        <f t="shared" si="30"/>
        <v>391</v>
      </c>
      <c r="AZ111" s="10">
        <f t="shared" si="30"/>
        <v>-10</v>
      </c>
      <c r="BA111" s="10">
        <f t="shared" si="30"/>
        <v>-10</v>
      </c>
      <c r="BB111" s="10">
        <f t="shared" si="30"/>
        <v>6799</v>
      </c>
      <c r="BC111" s="10">
        <f t="shared" si="30"/>
        <v>19200</v>
      </c>
      <c r="BD111" s="10">
        <f t="shared" si="30"/>
        <v>17640</v>
      </c>
      <c r="BE111" s="10">
        <f t="shared" si="30"/>
        <v>51323</v>
      </c>
      <c r="BF111" s="10">
        <f t="shared" si="30"/>
        <v>13546</v>
      </c>
      <c r="BG111" s="10">
        <f t="shared" si="30"/>
        <v>22057</v>
      </c>
      <c r="BH111" s="10">
        <f t="shared" si="30"/>
        <v>7114</v>
      </c>
      <c r="BI111" s="10">
        <f t="shared" si="30"/>
        <v>18265</v>
      </c>
      <c r="BJ111" s="10">
        <f t="shared" si="30"/>
        <v>605</v>
      </c>
      <c r="BK111" s="10">
        <f t="shared" si="30"/>
        <v>889</v>
      </c>
      <c r="BL111" s="42">
        <f t="shared" si="20"/>
        <v>37955.600000000006</v>
      </c>
      <c r="BM111" s="42">
        <f t="shared" si="21"/>
        <v>216679.16000000003</v>
      </c>
    </row>
    <row r="112" spans="1:65" x14ac:dyDescent="0.25">
      <c r="A112" s="5"/>
    </row>
    <row r="113" spans="1:65" x14ac:dyDescent="0.25">
      <c r="A113" s="18" t="s">
        <v>40</v>
      </c>
    </row>
    <row r="114" spans="1:65" x14ac:dyDescent="0.25">
      <c r="A114" s="3" t="s">
        <v>0</v>
      </c>
      <c r="B114" s="127" t="s">
        <v>1</v>
      </c>
      <c r="C114" s="128"/>
      <c r="D114" s="127" t="s">
        <v>232</v>
      </c>
      <c r="E114" s="128"/>
      <c r="F114" s="127" t="s">
        <v>2</v>
      </c>
      <c r="G114" s="128"/>
      <c r="H114" s="127" t="s">
        <v>3</v>
      </c>
      <c r="I114" s="128"/>
      <c r="J114" s="127" t="s">
        <v>241</v>
      </c>
      <c r="K114" s="128"/>
      <c r="L114" s="127" t="s">
        <v>233</v>
      </c>
      <c r="M114" s="128"/>
      <c r="N114" s="127" t="s">
        <v>244</v>
      </c>
      <c r="O114" s="128"/>
      <c r="P114" s="127" t="s">
        <v>5</v>
      </c>
      <c r="Q114" s="128"/>
      <c r="R114" s="127" t="s">
        <v>4</v>
      </c>
      <c r="S114" s="128"/>
      <c r="T114" s="127" t="s">
        <v>6</v>
      </c>
      <c r="U114" s="128"/>
      <c r="V114" s="127" t="s">
        <v>7</v>
      </c>
      <c r="W114" s="128"/>
      <c r="X114" s="127" t="s">
        <v>8</v>
      </c>
      <c r="Y114" s="128"/>
      <c r="Z114" s="127" t="s">
        <v>9</v>
      </c>
      <c r="AA114" s="128"/>
      <c r="AB114" s="127" t="s">
        <v>240</v>
      </c>
      <c r="AC114" s="128"/>
      <c r="AD114" s="127" t="s">
        <v>10</v>
      </c>
      <c r="AE114" s="128"/>
      <c r="AF114" s="127" t="s">
        <v>11</v>
      </c>
      <c r="AG114" s="128"/>
      <c r="AH114" s="127" t="s">
        <v>234</v>
      </c>
      <c r="AI114" s="128"/>
      <c r="AJ114" s="127" t="s">
        <v>12</v>
      </c>
      <c r="AK114" s="128"/>
      <c r="AL114" s="127" t="s">
        <v>235</v>
      </c>
      <c r="AM114" s="128"/>
      <c r="AN114" s="127" t="s">
        <v>293</v>
      </c>
      <c r="AO114" s="128"/>
      <c r="AP114" s="127" t="s">
        <v>236</v>
      </c>
      <c r="AQ114" s="128"/>
      <c r="AR114" s="127" t="s">
        <v>239</v>
      </c>
      <c r="AS114" s="128"/>
      <c r="AT114" s="127" t="s">
        <v>13</v>
      </c>
      <c r="AU114" s="128"/>
      <c r="AV114" s="127" t="s">
        <v>14</v>
      </c>
      <c r="AW114" s="128"/>
      <c r="AX114" s="127" t="s">
        <v>15</v>
      </c>
      <c r="AY114" s="128"/>
      <c r="AZ114" s="127" t="s">
        <v>16</v>
      </c>
      <c r="BA114" s="128"/>
      <c r="BB114" s="127" t="s">
        <v>17</v>
      </c>
      <c r="BC114" s="128"/>
      <c r="BD114" s="127" t="s">
        <v>237</v>
      </c>
      <c r="BE114" s="128"/>
      <c r="BF114" s="127" t="s">
        <v>238</v>
      </c>
      <c r="BG114" s="128"/>
      <c r="BH114" s="127" t="s">
        <v>18</v>
      </c>
      <c r="BI114" s="128"/>
      <c r="BJ114" s="127" t="s">
        <v>19</v>
      </c>
      <c r="BK114" s="128"/>
      <c r="BL114" s="129" t="s">
        <v>20</v>
      </c>
      <c r="BM114" s="130"/>
    </row>
    <row r="115" spans="1:65" ht="30" x14ac:dyDescent="0.25">
      <c r="A115" s="3"/>
      <c r="B115" s="32" t="s">
        <v>299</v>
      </c>
      <c r="C115" s="33" t="s">
        <v>298</v>
      </c>
      <c r="D115" s="32" t="s">
        <v>299</v>
      </c>
      <c r="E115" s="33" t="s">
        <v>298</v>
      </c>
      <c r="F115" s="32" t="s">
        <v>299</v>
      </c>
      <c r="G115" s="33" t="s">
        <v>298</v>
      </c>
      <c r="H115" s="32" t="s">
        <v>299</v>
      </c>
      <c r="I115" s="33" t="s">
        <v>298</v>
      </c>
      <c r="J115" s="32" t="s">
        <v>299</v>
      </c>
      <c r="K115" s="33" t="s">
        <v>298</v>
      </c>
      <c r="L115" s="32" t="s">
        <v>299</v>
      </c>
      <c r="M115" s="33" t="s">
        <v>298</v>
      </c>
      <c r="N115" s="32" t="s">
        <v>299</v>
      </c>
      <c r="O115" s="33" t="s">
        <v>298</v>
      </c>
      <c r="P115" s="32" t="s">
        <v>299</v>
      </c>
      <c r="Q115" s="33" t="s">
        <v>298</v>
      </c>
      <c r="R115" s="32" t="s">
        <v>299</v>
      </c>
      <c r="S115" s="33" t="s">
        <v>298</v>
      </c>
      <c r="T115" s="32" t="s">
        <v>299</v>
      </c>
      <c r="U115" s="33" t="s">
        <v>298</v>
      </c>
      <c r="V115" s="32" t="s">
        <v>299</v>
      </c>
      <c r="W115" s="33" t="s">
        <v>298</v>
      </c>
      <c r="X115" s="32" t="s">
        <v>299</v>
      </c>
      <c r="Y115" s="33" t="s">
        <v>298</v>
      </c>
      <c r="Z115" s="32" t="s">
        <v>299</v>
      </c>
      <c r="AA115" s="33" t="s">
        <v>298</v>
      </c>
      <c r="AB115" s="32" t="s">
        <v>299</v>
      </c>
      <c r="AC115" s="33" t="s">
        <v>298</v>
      </c>
      <c r="AD115" s="32" t="s">
        <v>299</v>
      </c>
      <c r="AE115" s="33" t="s">
        <v>298</v>
      </c>
      <c r="AF115" s="32" t="s">
        <v>299</v>
      </c>
      <c r="AG115" s="33" t="s">
        <v>298</v>
      </c>
      <c r="AH115" s="32" t="s">
        <v>299</v>
      </c>
      <c r="AI115" s="33" t="s">
        <v>298</v>
      </c>
      <c r="AJ115" s="32" t="s">
        <v>299</v>
      </c>
      <c r="AK115" s="33" t="s">
        <v>298</v>
      </c>
      <c r="AL115" s="32" t="s">
        <v>299</v>
      </c>
      <c r="AM115" s="33" t="s">
        <v>298</v>
      </c>
      <c r="AN115" s="32" t="s">
        <v>299</v>
      </c>
      <c r="AO115" s="33" t="s">
        <v>298</v>
      </c>
      <c r="AP115" s="32" t="s">
        <v>299</v>
      </c>
      <c r="AQ115" s="33" t="s">
        <v>298</v>
      </c>
      <c r="AR115" s="32" t="s">
        <v>299</v>
      </c>
      <c r="AS115" s="33" t="s">
        <v>298</v>
      </c>
      <c r="AT115" s="32" t="s">
        <v>299</v>
      </c>
      <c r="AU115" s="33" t="s">
        <v>298</v>
      </c>
      <c r="AV115" s="32" t="s">
        <v>299</v>
      </c>
      <c r="AW115" s="33" t="s">
        <v>298</v>
      </c>
      <c r="AX115" s="32" t="s">
        <v>299</v>
      </c>
      <c r="AY115" s="33" t="s">
        <v>298</v>
      </c>
      <c r="AZ115" s="32" t="s">
        <v>299</v>
      </c>
      <c r="BA115" s="33" t="s">
        <v>298</v>
      </c>
      <c r="BB115" s="32" t="s">
        <v>299</v>
      </c>
      <c r="BC115" s="33" t="s">
        <v>298</v>
      </c>
      <c r="BD115" s="32" t="s">
        <v>299</v>
      </c>
      <c r="BE115" s="33" t="s">
        <v>298</v>
      </c>
      <c r="BF115" s="32" t="s">
        <v>299</v>
      </c>
      <c r="BG115" s="33" t="s">
        <v>298</v>
      </c>
      <c r="BH115" s="32" t="s">
        <v>299</v>
      </c>
      <c r="BI115" s="33" t="s">
        <v>298</v>
      </c>
      <c r="BJ115" s="32" t="s">
        <v>299</v>
      </c>
      <c r="BK115" s="33" t="s">
        <v>298</v>
      </c>
      <c r="BL115" s="123" t="s">
        <v>299</v>
      </c>
      <c r="BM115" s="124" t="s">
        <v>298</v>
      </c>
    </row>
    <row r="116" spans="1:65" x14ac:dyDescent="0.25">
      <c r="A116" s="2" t="s">
        <v>273</v>
      </c>
      <c r="B116" s="9">
        <v>24620</v>
      </c>
      <c r="C116" s="9">
        <v>60931</v>
      </c>
      <c r="D116" s="9">
        <v>35660</v>
      </c>
      <c r="E116" s="9">
        <v>92023</v>
      </c>
      <c r="F116" s="9">
        <v>275899</v>
      </c>
      <c r="G116" s="9">
        <v>623473</v>
      </c>
      <c r="H116" s="9">
        <v>189391</v>
      </c>
      <c r="I116" s="9">
        <v>520513</v>
      </c>
      <c r="J116" s="9">
        <v>78375</v>
      </c>
      <c r="K116" s="9">
        <v>179743</v>
      </c>
      <c r="L116" s="9">
        <v>73237</v>
      </c>
      <c r="M116" s="9">
        <v>190512</v>
      </c>
      <c r="N116" s="9">
        <v>53754</v>
      </c>
      <c r="O116" s="9">
        <v>87307</v>
      </c>
      <c r="P116" s="9">
        <v>16593.189999999999</v>
      </c>
      <c r="Q116" s="9">
        <v>48125.35</v>
      </c>
      <c r="R116" s="9">
        <v>6741.58</v>
      </c>
      <c r="S116" s="9">
        <v>17587.89</v>
      </c>
      <c r="T116" s="9">
        <v>65777.11</v>
      </c>
      <c r="U116" s="9">
        <v>183196.73</v>
      </c>
      <c r="V116" s="9">
        <v>248869</v>
      </c>
      <c r="W116" s="9">
        <v>642667</v>
      </c>
      <c r="X116" s="9">
        <v>293441</v>
      </c>
      <c r="Y116" s="9">
        <v>789145</v>
      </c>
      <c r="Z116" s="9">
        <v>170493</v>
      </c>
      <c r="AA116" s="9">
        <v>462610</v>
      </c>
      <c r="AB116" s="9">
        <v>13484</v>
      </c>
      <c r="AC116" s="9">
        <v>34620</v>
      </c>
      <c r="AD116" s="9">
        <v>23294</v>
      </c>
      <c r="AE116" s="9">
        <v>62661</v>
      </c>
      <c r="AF116" s="9">
        <v>23008</v>
      </c>
      <c r="AG116" s="9">
        <v>59144</v>
      </c>
      <c r="AH116" s="9">
        <v>19335.21</v>
      </c>
      <c r="AI116" s="9">
        <v>53094.37</v>
      </c>
      <c r="AJ116" s="9">
        <v>311789.87</v>
      </c>
      <c r="AK116" s="9">
        <v>926175.58</v>
      </c>
      <c r="AL116" s="9">
        <v>1316</v>
      </c>
      <c r="AM116" s="9">
        <v>3798</v>
      </c>
      <c r="AN116" s="9">
        <v>38145</v>
      </c>
      <c r="AO116" s="9">
        <v>116189</v>
      </c>
      <c r="AP116" s="9">
        <v>5712</v>
      </c>
      <c r="AQ116" s="9">
        <v>16953</v>
      </c>
      <c r="AR116" s="9">
        <v>90026</v>
      </c>
      <c r="AS116" s="9">
        <v>348933</v>
      </c>
      <c r="AT116" s="9">
        <v>53003</v>
      </c>
      <c r="AU116" s="9">
        <v>141740</v>
      </c>
      <c r="AV116" s="9">
        <v>140477</v>
      </c>
      <c r="AW116" s="9">
        <v>402180</v>
      </c>
      <c r="AX116" s="9">
        <v>37774</v>
      </c>
      <c r="AY116" s="9">
        <v>92497</v>
      </c>
      <c r="AZ116" s="9">
        <v>202049</v>
      </c>
      <c r="BA116" s="9">
        <v>592676</v>
      </c>
      <c r="BB116" s="9">
        <v>125639</v>
      </c>
      <c r="BC116" s="9">
        <v>358815</v>
      </c>
      <c r="BD116" s="9">
        <v>755088</v>
      </c>
      <c r="BE116" s="9">
        <v>2220272</v>
      </c>
      <c r="BF116" s="9">
        <v>357436</v>
      </c>
      <c r="BG116" s="9">
        <v>953832</v>
      </c>
      <c r="BH116" s="9">
        <v>363819</v>
      </c>
      <c r="BI116" s="9">
        <v>1047069</v>
      </c>
      <c r="BJ116" s="9">
        <v>65422</v>
      </c>
      <c r="BK116" s="9">
        <v>203475</v>
      </c>
      <c r="BL116" s="46">
        <f t="shared" ref="BL116:BL122" si="36">SUM(B116+D116+F116+H116+J116+L116+N116+P116+R116+T116+V116+X116+Z116+AB116+AD116+AF116+AH116+AJ116+AL116+AN116+AP116+AR116+AT116+AV116+AX116+AZ116+BB116+BD116+BF116+BH116+BJ116)</f>
        <v>4159667.96</v>
      </c>
      <c r="BM116" s="46">
        <f t="shared" ref="BM116:BM122" si="37">SUM(C116+E116+G116+I116+K116+M116+O116+Q116+S116+U116+W116+Y116+AA116+AC116+AE116+AG116+AI116+AK116+AM116+AO116+AQ116+AS116+AU116+AW116+AY116+BA116+BC116+BE116+BG116+BI116+BK116)</f>
        <v>11531957.92</v>
      </c>
    </row>
    <row r="117" spans="1:65" x14ac:dyDescent="0.25">
      <c r="A117" s="2" t="s">
        <v>274</v>
      </c>
      <c r="B117" s="9"/>
      <c r="C117" s="9"/>
      <c r="D117" s="9"/>
      <c r="E117" s="9"/>
      <c r="F117" s="9">
        <v>0</v>
      </c>
      <c r="G117" s="9">
        <v>32</v>
      </c>
      <c r="H117" s="9">
        <v>156</v>
      </c>
      <c r="I117" s="9">
        <v>1113</v>
      </c>
      <c r="J117" s="9">
        <v>4815</v>
      </c>
      <c r="K117" s="9">
        <v>9254</v>
      </c>
      <c r="L117" s="9">
        <v>3</v>
      </c>
      <c r="M117" s="9">
        <v>3</v>
      </c>
      <c r="N117" s="9">
        <v>2915</v>
      </c>
      <c r="O117" s="9">
        <v>53125</v>
      </c>
      <c r="P117" s="9">
        <v>3521.05</v>
      </c>
      <c r="Q117" s="9">
        <v>17553.400000000001</v>
      </c>
      <c r="R117" s="9">
        <v>208.28</v>
      </c>
      <c r="S117" s="9">
        <v>420.67</v>
      </c>
      <c r="T117" s="9">
        <v>1082.56</v>
      </c>
      <c r="U117" s="9">
        <v>1709.21</v>
      </c>
      <c r="V117" s="9">
        <v>420</v>
      </c>
      <c r="W117" s="9">
        <v>3556</v>
      </c>
      <c r="X117" s="9">
        <v>26689</v>
      </c>
      <c r="Y117" s="9">
        <v>30620</v>
      </c>
      <c r="Z117" s="9">
        <v>281</v>
      </c>
      <c r="AA117" s="9">
        <v>2897</v>
      </c>
      <c r="AB117" s="9">
        <v>46</v>
      </c>
      <c r="AC117" s="9">
        <v>106</v>
      </c>
      <c r="AD117" s="9">
        <v>1</v>
      </c>
      <c r="AE117" s="9">
        <v>1</v>
      </c>
      <c r="AF117" s="9">
        <v>331</v>
      </c>
      <c r="AG117" s="9">
        <v>1404</v>
      </c>
      <c r="AH117" s="9"/>
      <c r="AI117" s="9"/>
      <c r="AJ117" s="9">
        <v>6669.38</v>
      </c>
      <c r="AK117" s="9">
        <v>34120.269999999997</v>
      </c>
      <c r="AL117" s="9"/>
      <c r="AM117" s="9"/>
      <c r="AN117" s="9"/>
      <c r="AO117" s="9"/>
      <c r="AP117" s="9">
        <v>27</v>
      </c>
      <c r="AQ117" s="9">
        <v>218</v>
      </c>
      <c r="AR117" s="9">
        <v>389</v>
      </c>
      <c r="AS117" s="9">
        <v>1073</v>
      </c>
      <c r="AT117" s="9">
        <v>801</v>
      </c>
      <c r="AU117" s="9">
        <v>2049</v>
      </c>
      <c r="AV117" s="9">
        <v>105</v>
      </c>
      <c r="AW117" s="9">
        <v>3784</v>
      </c>
      <c r="AX117" s="9">
        <v>0</v>
      </c>
      <c r="AY117" s="9">
        <v>0</v>
      </c>
      <c r="AZ117" s="9"/>
      <c r="BA117" s="9"/>
      <c r="BB117" s="9">
        <v>42906</v>
      </c>
      <c r="BC117" s="9">
        <v>55244</v>
      </c>
      <c r="BD117" s="9">
        <v>13793</v>
      </c>
      <c r="BE117" s="9">
        <v>47522</v>
      </c>
      <c r="BF117" s="9">
        <v>2562</v>
      </c>
      <c r="BG117" s="9">
        <v>34878</v>
      </c>
      <c r="BH117" s="9">
        <v>1794</v>
      </c>
      <c r="BI117" s="9">
        <v>5935</v>
      </c>
      <c r="BJ117" s="9">
        <v>645</v>
      </c>
      <c r="BK117" s="9">
        <v>2494</v>
      </c>
      <c r="BL117" s="46">
        <f t="shared" si="36"/>
        <v>110160.26999999999</v>
      </c>
      <c r="BM117" s="46">
        <f t="shared" si="37"/>
        <v>309111.55</v>
      </c>
    </row>
    <row r="118" spans="1:65" x14ac:dyDescent="0.25">
      <c r="A118" s="2" t="s">
        <v>275</v>
      </c>
      <c r="B118" s="9">
        <v>6303</v>
      </c>
      <c r="C118" s="9">
        <v>25487</v>
      </c>
      <c r="D118" s="9">
        <v>6258</v>
      </c>
      <c r="E118" s="9">
        <v>16849</v>
      </c>
      <c r="F118" s="9">
        <v>129573</v>
      </c>
      <c r="G118" s="9">
        <v>347689</v>
      </c>
      <c r="H118" s="9">
        <v>-71298</v>
      </c>
      <c r="I118" s="9">
        <v>-186726</v>
      </c>
      <c r="J118" s="9">
        <v>17677</v>
      </c>
      <c r="K118" s="9">
        <v>43800</v>
      </c>
      <c r="L118" s="9">
        <v>25791</v>
      </c>
      <c r="M118" s="9">
        <v>56510</v>
      </c>
      <c r="N118" s="9">
        <v>10335</v>
      </c>
      <c r="O118" s="9">
        <v>27913</v>
      </c>
      <c r="P118" s="9">
        <v>2922.83</v>
      </c>
      <c r="Q118" s="9">
        <v>5913.76</v>
      </c>
      <c r="R118" s="9">
        <v>1351.34</v>
      </c>
      <c r="S118" s="9">
        <v>3319.43</v>
      </c>
      <c r="T118" s="9">
        <v>21110.85</v>
      </c>
      <c r="U118" s="9">
        <v>64276.9</v>
      </c>
      <c r="V118" s="9">
        <v>-84409</v>
      </c>
      <c r="W118" s="9">
        <v>-286893</v>
      </c>
      <c r="X118" s="9">
        <v>86238</v>
      </c>
      <c r="Y118" s="9">
        <v>185471</v>
      </c>
      <c r="Z118" s="9">
        <v>55819</v>
      </c>
      <c r="AA118" s="9">
        <v>151101</v>
      </c>
      <c r="AB118" s="9">
        <v>4483</v>
      </c>
      <c r="AC118" s="9">
        <v>10182</v>
      </c>
      <c r="AD118" s="9">
        <v>2013</v>
      </c>
      <c r="AE118" s="9">
        <v>5134</v>
      </c>
      <c r="AF118" s="9">
        <v>-7430</v>
      </c>
      <c r="AG118" s="9">
        <v>-22270</v>
      </c>
      <c r="AH118" s="9">
        <v>854.28</v>
      </c>
      <c r="AI118" s="9">
        <v>2504.33</v>
      </c>
      <c r="AJ118" s="9">
        <v>39580.42</v>
      </c>
      <c r="AK118" s="9">
        <v>108682.76</v>
      </c>
      <c r="AL118" s="9">
        <v>-87</v>
      </c>
      <c r="AM118" s="9">
        <v>-253</v>
      </c>
      <c r="AN118" s="9">
        <v>7809</v>
      </c>
      <c r="AO118" s="9">
        <v>24309</v>
      </c>
      <c r="AP118" s="9">
        <v>775</v>
      </c>
      <c r="AQ118" s="9">
        <v>2508</v>
      </c>
      <c r="AR118" s="9">
        <v>31189</v>
      </c>
      <c r="AS118" s="9">
        <v>146840</v>
      </c>
      <c r="AT118" s="9">
        <v>9971</v>
      </c>
      <c r="AU118" s="9">
        <v>27656</v>
      </c>
      <c r="AV118" s="9">
        <v>67700</v>
      </c>
      <c r="AW118" s="9">
        <v>204140</v>
      </c>
      <c r="AX118" s="9">
        <v>2394</v>
      </c>
      <c r="AY118" s="9">
        <v>7092</v>
      </c>
      <c r="AZ118" s="9">
        <v>9219</v>
      </c>
      <c r="BA118" s="9">
        <v>28421</v>
      </c>
      <c r="BB118" s="9">
        <v>69582</v>
      </c>
      <c r="BC118" s="9">
        <v>131232</v>
      </c>
      <c r="BD118" s="9">
        <v>90135</v>
      </c>
      <c r="BE118" s="9">
        <v>279533</v>
      </c>
      <c r="BF118" s="9">
        <v>23774</v>
      </c>
      <c r="BG118" s="9">
        <v>69934</v>
      </c>
      <c r="BH118" s="9">
        <v>30486</v>
      </c>
      <c r="BI118" s="9">
        <v>120999</v>
      </c>
      <c r="BJ118" s="9">
        <v>17674</v>
      </c>
      <c r="BK118" s="9">
        <v>74209</v>
      </c>
      <c r="BL118" s="46">
        <f t="shared" si="36"/>
        <v>607793.72</v>
      </c>
      <c r="BM118" s="46">
        <f t="shared" si="37"/>
        <v>1675564.1800000002</v>
      </c>
    </row>
    <row r="119" spans="1:65" s="7" customFormat="1" x14ac:dyDescent="0.25">
      <c r="A119" s="3" t="s">
        <v>276</v>
      </c>
      <c r="B119" s="10">
        <v>18317</v>
      </c>
      <c r="C119" s="10">
        <v>35444</v>
      </c>
      <c r="D119" s="10">
        <v>29403</v>
      </c>
      <c r="E119" s="10">
        <v>75173</v>
      </c>
      <c r="F119" s="10">
        <v>146326</v>
      </c>
      <c r="G119" s="10">
        <v>275816</v>
      </c>
      <c r="H119" s="10">
        <v>118249</v>
      </c>
      <c r="I119" s="10">
        <v>334900</v>
      </c>
      <c r="J119" s="10">
        <v>65513</v>
      </c>
      <c r="K119" s="10">
        <v>145197</v>
      </c>
      <c r="L119" s="10">
        <v>47449</v>
      </c>
      <c r="M119" s="10">
        <v>134005</v>
      </c>
      <c r="N119" s="10">
        <v>46334</v>
      </c>
      <c r="O119" s="10">
        <v>112519</v>
      </c>
      <c r="P119" s="10">
        <v>10149.31</v>
      </c>
      <c r="Q119" s="10">
        <v>24658.19</v>
      </c>
      <c r="R119" s="10">
        <v>5598.52</v>
      </c>
      <c r="S119" s="10">
        <v>14689.13</v>
      </c>
      <c r="T119" s="10">
        <v>45748.82</v>
      </c>
      <c r="U119" s="10">
        <v>120629.04</v>
      </c>
      <c r="V119" s="10">
        <v>164880</v>
      </c>
      <c r="W119" s="10">
        <v>359330</v>
      </c>
      <c r="X119" s="10">
        <v>233892</v>
      </c>
      <c r="Y119" s="10">
        <v>634294</v>
      </c>
      <c r="Z119" s="10">
        <v>114955</v>
      </c>
      <c r="AA119" s="10">
        <v>314406</v>
      </c>
      <c r="AB119" s="10">
        <v>9047</v>
      </c>
      <c r="AC119" s="10">
        <v>24544</v>
      </c>
      <c r="AD119" s="10">
        <v>21283</v>
      </c>
      <c r="AE119" s="10">
        <v>57527</v>
      </c>
      <c r="AF119" s="10">
        <v>15910</v>
      </c>
      <c r="AG119" s="10">
        <v>38278</v>
      </c>
      <c r="AH119" s="10">
        <v>18480.93</v>
      </c>
      <c r="AI119" s="10">
        <v>50590.04</v>
      </c>
      <c r="AJ119" s="10">
        <v>278878.84000000003</v>
      </c>
      <c r="AK119" s="10">
        <v>851613.09</v>
      </c>
      <c r="AL119" s="10">
        <v>1229</v>
      </c>
      <c r="AM119" s="10">
        <v>3545</v>
      </c>
      <c r="AN119" s="10">
        <v>30336</v>
      </c>
      <c r="AO119" s="10">
        <v>91880</v>
      </c>
      <c r="AP119" s="10">
        <v>4964</v>
      </c>
      <c r="AQ119" s="10">
        <v>14662</v>
      </c>
      <c r="AR119" s="10">
        <v>59226</v>
      </c>
      <c r="AS119" s="10">
        <v>203166</v>
      </c>
      <c r="AT119" s="10">
        <v>43833</v>
      </c>
      <c r="AU119" s="10">
        <v>116133</v>
      </c>
      <c r="AV119" s="10">
        <v>72881</v>
      </c>
      <c r="AW119" s="10">
        <v>201824</v>
      </c>
      <c r="AX119" s="10">
        <v>35380</v>
      </c>
      <c r="AY119" s="10">
        <v>85405</v>
      </c>
      <c r="AZ119" s="10">
        <v>192830</v>
      </c>
      <c r="BA119" s="10">
        <v>564255</v>
      </c>
      <c r="BB119" s="10">
        <v>98963</v>
      </c>
      <c r="BC119" s="10">
        <v>282827</v>
      </c>
      <c r="BD119" s="10">
        <v>678745</v>
      </c>
      <c r="BE119" s="10">
        <v>1988261</v>
      </c>
      <c r="BF119" s="10">
        <v>336223</v>
      </c>
      <c r="BG119" s="10">
        <v>918775</v>
      </c>
      <c r="BH119" s="10">
        <v>335128</v>
      </c>
      <c r="BI119" s="10">
        <v>932005</v>
      </c>
      <c r="BJ119" s="10">
        <v>48392</v>
      </c>
      <c r="BK119" s="10">
        <v>131759</v>
      </c>
      <c r="BL119" s="42">
        <f t="shared" si="36"/>
        <v>3328544.42</v>
      </c>
      <c r="BM119" s="42">
        <f t="shared" si="37"/>
        <v>9138109.4900000002</v>
      </c>
    </row>
    <row r="120" spans="1:65" x14ac:dyDescent="0.25">
      <c r="A120" s="2" t="s">
        <v>277</v>
      </c>
      <c r="B120" s="9">
        <v>35469</v>
      </c>
      <c r="C120" s="9">
        <v>35469</v>
      </c>
      <c r="D120" s="9">
        <v>20817</v>
      </c>
      <c r="E120" s="9">
        <v>20817</v>
      </c>
      <c r="F120" s="9">
        <v>1029021</v>
      </c>
      <c r="G120" s="9">
        <v>1029021</v>
      </c>
      <c r="H120" s="9">
        <v>1213585</v>
      </c>
      <c r="I120" s="9">
        <v>1213585</v>
      </c>
      <c r="J120" s="9">
        <v>58009</v>
      </c>
      <c r="K120" s="9">
        <v>58009</v>
      </c>
      <c r="L120" s="9">
        <v>776116</v>
      </c>
      <c r="M120" s="9">
        <v>776116</v>
      </c>
      <c r="N120" s="9">
        <v>540378</v>
      </c>
      <c r="O120" s="9">
        <v>540378</v>
      </c>
      <c r="P120" s="9">
        <v>-66833.73</v>
      </c>
      <c r="Q120" s="9">
        <v>587221.37</v>
      </c>
      <c r="R120" s="9">
        <v>19892.830000000002</v>
      </c>
      <c r="S120" s="9">
        <v>19892.830000000002</v>
      </c>
      <c r="T120" s="9">
        <v>293665.3</v>
      </c>
      <c r="U120" s="9">
        <v>293665.3</v>
      </c>
      <c r="V120" s="9">
        <v>805361</v>
      </c>
      <c r="W120" s="9">
        <v>805361</v>
      </c>
      <c r="X120" s="9">
        <v>1987861</v>
      </c>
      <c r="Y120" s="9">
        <v>1987861</v>
      </c>
      <c r="Z120" s="9">
        <v>23761</v>
      </c>
      <c r="AA120" s="9">
        <v>818624</v>
      </c>
      <c r="AB120" s="9">
        <v>58292</v>
      </c>
      <c r="AC120" s="9">
        <v>58292</v>
      </c>
      <c r="AD120" s="9">
        <v>153695</v>
      </c>
      <c r="AE120" s="9">
        <v>153695</v>
      </c>
      <c r="AF120" s="9">
        <v>237580</v>
      </c>
      <c r="AG120" s="9">
        <v>237580</v>
      </c>
      <c r="AH120" s="9">
        <v>11806.56</v>
      </c>
      <c r="AI120" s="9">
        <v>11806.54</v>
      </c>
      <c r="AJ120" s="9">
        <v>27477.25</v>
      </c>
      <c r="AK120" s="9">
        <v>2070170.71</v>
      </c>
      <c r="AL120" s="9">
        <v>14604</v>
      </c>
      <c r="AM120" s="9">
        <v>14604</v>
      </c>
      <c r="AN120" s="9">
        <v>37268</v>
      </c>
      <c r="AO120" s="9">
        <v>37268</v>
      </c>
      <c r="AP120" s="9">
        <v>44891</v>
      </c>
      <c r="AQ120" s="9">
        <v>44891</v>
      </c>
      <c r="AR120" s="9">
        <v>931931</v>
      </c>
      <c r="AS120" s="9">
        <v>931931</v>
      </c>
      <c r="AT120" s="9">
        <v>471688</v>
      </c>
      <c r="AU120" s="9">
        <v>471688</v>
      </c>
      <c r="AV120" s="9">
        <v>497336</v>
      </c>
      <c r="AW120" s="9">
        <v>497336</v>
      </c>
      <c r="AX120" s="9">
        <v>766755</v>
      </c>
      <c r="AY120" s="9">
        <v>766755</v>
      </c>
      <c r="AZ120" s="9">
        <v>81247</v>
      </c>
      <c r="BA120" s="9">
        <v>81248</v>
      </c>
      <c r="BB120" s="9">
        <v>1040500</v>
      </c>
      <c r="BC120" s="9">
        <v>1040500</v>
      </c>
      <c r="BD120" s="9">
        <v>3305778</v>
      </c>
      <c r="BE120" s="9">
        <v>3305778</v>
      </c>
      <c r="BF120" s="9">
        <v>-12053</v>
      </c>
      <c r="BG120" s="9">
        <v>1821888</v>
      </c>
      <c r="BH120" s="9"/>
      <c r="BI120" s="9"/>
      <c r="BJ120" s="9">
        <v>173065</v>
      </c>
      <c r="BK120" s="9">
        <v>173065</v>
      </c>
      <c r="BL120" s="46">
        <f t="shared" si="36"/>
        <v>14578963.210000001</v>
      </c>
      <c r="BM120" s="46">
        <f t="shared" si="37"/>
        <v>19904516.75</v>
      </c>
    </row>
    <row r="121" spans="1:65" ht="15" customHeight="1" x14ac:dyDescent="0.25">
      <c r="A121" s="2" t="s">
        <v>278</v>
      </c>
      <c r="B121" s="9">
        <v>35095</v>
      </c>
      <c r="C121" s="9">
        <v>20469</v>
      </c>
      <c r="D121" s="9">
        <v>20197</v>
      </c>
      <c r="E121" s="9">
        <v>14729</v>
      </c>
      <c r="F121" s="9">
        <v>1056917</v>
      </c>
      <c r="G121" s="9">
        <v>788439</v>
      </c>
      <c r="H121" s="9">
        <v>1181345</v>
      </c>
      <c r="I121" s="9">
        <v>1095920</v>
      </c>
      <c r="J121" s="9">
        <v>70180</v>
      </c>
      <c r="K121" s="9">
        <v>53631</v>
      </c>
      <c r="L121" s="9">
        <v>751359</v>
      </c>
      <c r="M121" s="9">
        <v>700460</v>
      </c>
      <c r="N121" s="9">
        <v>496483</v>
      </c>
      <c r="O121" s="9">
        <v>388591</v>
      </c>
      <c r="P121" s="9"/>
      <c r="Q121" s="9">
        <v>699296.58</v>
      </c>
      <c r="R121" s="9">
        <v>18946.97</v>
      </c>
      <c r="S121" s="9">
        <v>15418.9</v>
      </c>
      <c r="T121" s="9">
        <v>288229.84000000003</v>
      </c>
      <c r="U121" s="9">
        <v>276543.81</v>
      </c>
      <c r="V121" s="9">
        <v>-804313</v>
      </c>
      <c r="W121" s="9">
        <v>-698274</v>
      </c>
      <c r="X121" s="9">
        <v>1955126</v>
      </c>
      <c r="Y121" s="9">
        <v>1826208</v>
      </c>
      <c r="Z121" s="9"/>
      <c r="AA121" s="9">
        <v>727766</v>
      </c>
      <c r="AB121" s="9">
        <v>55033</v>
      </c>
      <c r="AC121" s="9">
        <v>48347</v>
      </c>
      <c r="AD121" s="9">
        <v>146196</v>
      </c>
      <c r="AE121" s="9">
        <v>131437</v>
      </c>
      <c r="AF121" s="9">
        <v>-224488</v>
      </c>
      <c r="AG121" s="9">
        <v>-200655</v>
      </c>
      <c r="AH121" s="9">
        <v>11582.45</v>
      </c>
      <c r="AI121" s="9">
        <v>10625.5</v>
      </c>
      <c r="AJ121" s="9">
        <v>0</v>
      </c>
      <c r="AK121" s="9">
        <v>2024056.99</v>
      </c>
      <c r="AL121" s="9">
        <v>-14389</v>
      </c>
      <c r="AM121" s="9">
        <v>-12806</v>
      </c>
      <c r="AN121" s="9">
        <v>30806</v>
      </c>
      <c r="AO121" s="9">
        <v>26861</v>
      </c>
      <c r="AP121" s="9">
        <v>42885</v>
      </c>
      <c r="AQ121" s="9">
        <v>38659</v>
      </c>
      <c r="AR121" s="9">
        <v>866762</v>
      </c>
      <c r="AS121" s="9">
        <v>782371</v>
      </c>
      <c r="AT121" s="9">
        <v>467522</v>
      </c>
      <c r="AU121" s="9">
        <v>443394</v>
      </c>
      <c r="AV121" s="9">
        <v>469231</v>
      </c>
      <c r="AW121" s="9">
        <v>428253</v>
      </c>
      <c r="AX121" s="9">
        <v>768894</v>
      </c>
      <c r="AY121" s="9">
        <v>754495</v>
      </c>
      <c r="AZ121" s="9">
        <v>91295</v>
      </c>
      <c r="BA121" s="9">
        <v>94006</v>
      </c>
      <c r="BB121" s="9">
        <v>984791</v>
      </c>
      <c r="BC121" s="9">
        <v>863153</v>
      </c>
      <c r="BD121" s="9">
        <v>3272487</v>
      </c>
      <c r="BE121" s="9">
        <v>3177380</v>
      </c>
      <c r="BF121" s="9">
        <v>0</v>
      </c>
      <c r="BG121" s="9">
        <v>1657562</v>
      </c>
      <c r="BH121" s="9"/>
      <c r="BI121" s="9"/>
      <c r="BJ121" s="9">
        <v>165823</v>
      </c>
      <c r="BK121" s="9">
        <v>180334</v>
      </c>
      <c r="BL121" s="46">
        <f t="shared" si="36"/>
        <v>12203996.260000002</v>
      </c>
      <c r="BM121" s="46">
        <f t="shared" si="37"/>
        <v>16356671.780000001</v>
      </c>
    </row>
    <row r="122" spans="1:65" s="7" customFormat="1" x14ac:dyDescent="0.25">
      <c r="A122" s="3" t="s">
        <v>279</v>
      </c>
      <c r="B122" s="10">
        <v>18691</v>
      </c>
      <c r="C122" s="10">
        <v>50444</v>
      </c>
      <c r="D122" s="10">
        <v>30024</v>
      </c>
      <c r="E122" s="10">
        <v>81261</v>
      </c>
      <c r="F122" s="10">
        <v>118431</v>
      </c>
      <c r="G122" s="10">
        <v>516399</v>
      </c>
      <c r="H122" s="10">
        <v>150489</v>
      </c>
      <c r="I122" s="10">
        <v>452565</v>
      </c>
      <c r="J122" s="10">
        <v>53342</v>
      </c>
      <c r="K122" s="10">
        <v>149575</v>
      </c>
      <c r="L122" s="10">
        <v>72206</v>
      </c>
      <c r="M122" s="10">
        <v>209661</v>
      </c>
      <c r="N122" s="10">
        <v>90229</v>
      </c>
      <c r="O122" s="10">
        <v>264306</v>
      </c>
      <c r="P122" s="10">
        <v>-56684.42</v>
      </c>
      <c r="Q122" s="10">
        <v>-87417.02</v>
      </c>
      <c r="R122" s="10">
        <v>6544.38</v>
      </c>
      <c r="S122" s="10">
        <v>19163.060000000001</v>
      </c>
      <c r="T122" s="10">
        <v>51184.28</v>
      </c>
      <c r="U122" s="10">
        <v>137750.53</v>
      </c>
      <c r="V122" s="10">
        <v>165927</v>
      </c>
      <c r="W122" s="10">
        <v>466416</v>
      </c>
      <c r="X122" s="10">
        <v>266627</v>
      </c>
      <c r="Y122" s="10">
        <v>795947</v>
      </c>
      <c r="Z122" s="10">
        <v>138716</v>
      </c>
      <c r="AA122" s="10">
        <v>405264</v>
      </c>
      <c r="AB122" s="10">
        <v>12306</v>
      </c>
      <c r="AC122" s="10">
        <v>34489</v>
      </c>
      <c r="AD122" s="10">
        <v>28782</v>
      </c>
      <c r="AE122" s="10">
        <v>79785</v>
      </c>
      <c r="AF122" s="10">
        <v>29002</v>
      </c>
      <c r="AG122" s="10">
        <v>75203</v>
      </c>
      <c r="AH122" s="10">
        <v>18705.04</v>
      </c>
      <c r="AI122" s="10">
        <v>51771.08</v>
      </c>
      <c r="AJ122" s="10">
        <v>306356.09000000003</v>
      </c>
      <c r="AK122" s="10">
        <v>897726.81</v>
      </c>
      <c r="AL122" s="10">
        <v>1444</v>
      </c>
      <c r="AM122" s="10">
        <v>5344</v>
      </c>
      <c r="AN122" s="10">
        <v>36798</v>
      </c>
      <c r="AO122" s="10">
        <v>102286</v>
      </c>
      <c r="AP122" s="10">
        <v>6971</v>
      </c>
      <c r="AQ122" s="10">
        <v>20895</v>
      </c>
      <c r="AR122" s="10">
        <v>124396</v>
      </c>
      <c r="AS122" s="10">
        <v>352726</v>
      </c>
      <c r="AT122" s="10">
        <v>48000</v>
      </c>
      <c r="AU122" s="10">
        <v>144428</v>
      </c>
      <c r="AV122" s="10">
        <v>100986</v>
      </c>
      <c r="AW122" s="10">
        <v>270906</v>
      </c>
      <c r="AX122" s="10">
        <v>33241</v>
      </c>
      <c r="AY122" s="10">
        <v>97665</v>
      </c>
      <c r="AZ122" s="10">
        <v>182782</v>
      </c>
      <c r="BA122" s="10">
        <v>551497</v>
      </c>
      <c r="BB122" s="10">
        <v>154672</v>
      </c>
      <c r="BC122" s="10">
        <v>460174</v>
      </c>
      <c r="BD122" s="10">
        <v>712036</v>
      </c>
      <c r="BE122" s="10">
        <v>2116659</v>
      </c>
      <c r="BF122" s="10">
        <v>324170</v>
      </c>
      <c r="BG122" s="10">
        <v>1083102</v>
      </c>
      <c r="BH122" s="10">
        <v>397005</v>
      </c>
      <c r="BI122" s="10">
        <v>1097863</v>
      </c>
      <c r="BJ122" s="10">
        <v>55635</v>
      </c>
      <c r="BK122" s="10">
        <v>124491</v>
      </c>
      <c r="BL122" s="42">
        <f t="shared" si="36"/>
        <v>3679013.37</v>
      </c>
      <c r="BM122" s="42">
        <f t="shared" si="37"/>
        <v>11028345.460000001</v>
      </c>
    </row>
  </sheetData>
  <mergeCells count="352">
    <mergeCell ref="BD15:BE15"/>
    <mergeCell ref="BF15:BG15"/>
    <mergeCell ref="BH15:BI15"/>
    <mergeCell ref="BJ15:BK15"/>
    <mergeCell ref="BL15:BM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AV70:AW70"/>
    <mergeCell ref="AX70:AY70"/>
    <mergeCell ref="AZ70:BA70"/>
    <mergeCell ref="BB70:BC70"/>
    <mergeCell ref="P70:Q70"/>
    <mergeCell ref="R70:S70"/>
    <mergeCell ref="T70:U70"/>
    <mergeCell ref="BJ59:BK59"/>
    <mergeCell ref="BL59:BM59"/>
    <mergeCell ref="BD59:BE59"/>
    <mergeCell ref="BJ70:BK70"/>
    <mergeCell ref="BL70:BM70"/>
    <mergeCell ref="T59:U59"/>
    <mergeCell ref="BF59:BG59"/>
    <mergeCell ref="BH59:BI59"/>
    <mergeCell ref="AV59:AW59"/>
    <mergeCell ref="AX59:AY59"/>
    <mergeCell ref="AZ59:BA59"/>
    <mergeCell ref="BB59:BC59"/>
    <mergeCell ref="AH59:AI59"/>
    <mergeCell ref="AJ59:AK59"/>
    <mergeCell ref="AL59:AM59"/>
    <mergeCell ref="AN59:AO59"/>
    <mergeCell ref="AP59:AQ59"/>
    <mergeCell ref="L48:M48"/>
    <mergeCell ref="N48:O48"/>
    <mergeCell ref="AB59:AC59"/>
    <mergeCell ref="AR48:AS48"/>
    <mergeCell ref="B70:C70"/>
    <mergeCell ref="D70:E70"/>
    <mergeCell ref="F70:G70"/>
    <mergeCell ref="H70:I70"/>
    <mergeCell ref="P48:Q48"/>
    <mergeCell ref="R48:S48"/>
    <mergeCell ref="T48:U48"/>
    <mergeCell ref="AT59:AU59"/>
    <mergeCell ref="V59:W59"/>
    <mergeCell ref="X59:Y59"/>
    <mergeCell ref="Z59:AA59"/>
    <mergeCell ref="AD59:AE59"/>
    <mergeCell ref="AF59:AG59"/>
    <mergeCell ref="L59:M59"/>
    <mergeCell ref="N59:O59"/>
    <mergeCell ref="P59:Q59"/>
    <mergeCell ref="R59:S59"/>
    <mergeCell ref="AR59:AS59"/>
    <mergeCell ref="BJ37:BK37"/>
    <mergeCell ref="B59:C59"/>
    <mergeCell ref="D59:E59"/>
    <mergeCell ref="F59:G59"/>
    <mergeCell ref="H59:I59"/>
    <mergeCell ref="J59:K59"/>
    <mergeCell ref="BD48:BE48"/>
    <mergeCell ref="BF48:BG48"/>
    <mergeCell ref="BH48:BI48"/>
    <mergeCell ref="AF48:AG48"/>
    <mergeCell ref="AH48:AI48"/>
    <mergeCell ref="AJ48:AK48"/>
    <mergeCell ref="AL48:AM48"/>
    <mergeCell ref="AN48:AO48"/>
    <mergeCell ref="AP48:AQ48"/>
    <mergeCell ref="V48:W48"/>
    <mergeCell ref="X48:Y48"/>
    <mergeCell ref="Z48:AA48"/>
    <mergeCell ref="AB48:AC48"/>
    <mergeCell ref="AD48:AE48"/>
    <mergeCell ref="J48:K48"/>
    <mergeCell ref="BJ48:BK48"/>
    <mergeCell ref="AH37:AI37"/>
    <mergeCell ref="AJ37:AK37"/>
    <mergeCell ref="BL48:BM48"/>
    <mergeCell ref="AD37:AE37"/>
    <mergeCell ref="AF37:AG37"/>
    <mergeCell ref="AT48:AU48"/>
    <mergeCell ref="AV48:AW48"/>
    <mergeCell ref="AX48:AY48"/>
    <mergeCell ref="AZ48:BA48"/>
    <mergeCell ref="BB48:BC48"/>
    <mergeCell ref="B37:C37"/>
    <mergeCell ref="D37:E37"/>
    <mergeCell ref="F37:G37"/>
    <mergeCell ref="H37:I37"/>
    <mergeCell ref="J37:K37"/>
    <mergeCell ref="BL37:BM37"/>
    <mergeCell ref="B48:C48"/>
    <mergeCell ref="D48:E48"/>
    <mergeCell ref="F48:G48"/>
    <mergeCell ref="H48:I48"/>
    <mergeCell ref="AT37:AU37"/>
    <mergeCell ref="AV37:AW37"/>
    <mergeCell ref="AX37:AY37"/>
    <mergeCell ref="AZ37:BA37"/>
    <mergeCell ref="BB37:BC37"/>
    <mergeCell ref="BD37:BE37"/>
    <mergeCell ref="AN37:AO37"/>
    <mergeCell ref="AP37:AQ37"/>
    <mergeCell ref="AR37:AS37"/>
    <mergeCell ref="V37:W37"/>
    <mergeCell ref="X37:Y37"/>
    <mergeCell ref="J26:K26"/>
    <mergeCell ref="L26:M26"/>
    <mergeCell ref="N26:O26"/>
    <mergeCell ref="AB37:AC37"/>
    <mergeCell ref="L37:M37"/>
    <mergeCell ref="N37:O37"/>
    <mergeCell ref="P37:Q37"/>
    <mergeCell ref="R37:S37"/>
    <mergeCell ref="T37:U37"/>
    <mergeCell ref="P26:Q26"/>
    <mergeCell ref="R26:S26"/>
    <mergeCell ref="T26:U26"/>
    <mergeCell ref="V26:W26"/>
    <mergeCell ref="X26:Y26"/>
    <mergeCell ref="BF37:BG37"/>
    <mergeCell ref="BH37:BI37"/>
    <mergeCell ref="Z37:AA37"/>
    <mergeCell ref="BJ26:BK26"/>
    <mergeCell ref="BL26:BM26"/>
    <mergeCell ref="AR26:AS26"/>
    <mergeCell ref="AT26:AU26"/>
    <mergeCell ref="AV26:AW26"/>
    <mergeCell ref="AX26:AY26"/>
    <mergeCell ref="AZ26:BA26"/>
    <mergeCell ref="BB26:BC26"/>
    <mergeCell ref="Z26:AA26"/>
    <mergeCell ref="AB26:AC26"/>
    <mergeCell ref="AD26:AE26"/>
    <mergeCell ref="BD26:BE26"/>
    <mergeCell ref="BF26:BG26"/>
    <mergeCell ref="BH26:BI26"/>
    <mergeCell ref="AF26:AG26"/>
    <mergeCell ref="AH26:AI26"/>
    <mergeCell ref="AJ26:AK26"/>
    <mergeCell ref="AL26:AM26"/>
    <mergeCell ref="AN26:AO26"/>
    <mergeCell ref="AP26:AQ26"/>
    <mergeCell ref="AL37:AM37"/>
    <mergeCell ref="BF4:BG4"/>
    <mergeCell ref="BH4:BI4"/>
    <mergeCell ref="BJ4:BK4"/>
    <mergeCell ref="BL4:BM4"/>
    <mergeCell ref="B26:C26"/>
    <mergeCell ref="D26:E26"/>
    <mergeCell ref="F26:G26"/>
    <mergeCell ref="H26:I26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1" style="6" bestFit="1" customWidth="1"/>
    <col min="2" max="31" width="16" style="6" customWidth="1"/>
    <col min="32" max="32" width="16" style="7" customWidth="1"/>
    <col min="33" max="65" width="16" style="6" customWidth="1"/>
    <col min="66" max="16384" width="9.140625" style="6"/>
  </cols>
  <sheetData>
    <row r="1" spans="1:65" ht="18.75" x14ac:dyDescent="0.3">
      <c r="A1" s="8" t="s">
        <v>181</v>
      </c>
    </row>
    <row r="2" spans="1:65" x14ac:dyDescent="0.25">
      <c r="A2" s="6" t="s">
        <v>98</v>
      </c>
    </row>
    <row r="3" spans="1:65" x14ac:dyDescent="0.25">
      <c r="A3" s="17" t="s">
        <v>182</v>
      </c>
    </row>
    <row r="4" spans="1:65" x14ac:dyDescent="0.25">
      <c r="A4" s="3" t="s">
        <v>0</v>
      </c>
      <c r="B4" s="127" t="s">
        <v>1</v>
      </c>
      <c r="C4" s="128"/>
      <c r="D4" s="127" t="s">
        <v>232</v>
      </c>
      <c r="E4" s="128"/>
      <c r="F4" s="127" t="s">
        <v>2</v>
      </c>
      <c r="G4" s="128"/>
      <c r="H4" s="127" t="s">
        <v>3</v>
      </c>
      <c r="I4" s="128"/>
      <c r="J4" s="127" t="s">
        <v>241</v>
      </c>
      <c r="K4" s="128"/>
      <c r="L4" s="127" t="s">
        <v>233</v>
      </c>
      <c r="M4" s="128"/>
      <c r="N4" s="127" t="s">
        <v>244</v>
      </c>
      <c r="O4" s="128"/>
      <c r="P4" s="127" t="s">
        <v>5</v>
      </c>
      <c r="Q4" s="128"/>
      <c r="R4" s="127" t="s">
        <v>4</v>
      </c>
      <c r="S4" s="128"/>
      <c r="T4" s="127" t="s">
        <v>6</v>
      </c>
      <c r="U4" s="128"/>
      <c r="V4" s="127" t="s">
        <v>7</v>
      </c>
      <c r="W4" s="128"/>
      <c r="X4" s="127" t="s">
        <v>8</v>
      </c>
      <c r="Y4" s="128"/>
      <c r="Z4" s="127" t="s">
        <v>9</v>
      </c>
      <c r="AA4" s="128"/>
      <c r="AB4" s="127" t="s">
        <v>240</v>
      </c>
      <c r="AC4" s="128"/>
      <c r="AD4" s="127" t="s">
        <v>10</v>
      </c>
      <c r="AE4" s="128"/>
      <c r="AF4" s="127" t="s">
        <v>11</v>
      </c>
      <c r="AG4" s="128"/>
      <c r="AH4" s="127" t="s">
        <v>234</v>
      </c>
      <c r="AI4" s="128"/>
      <c r="AJ4" s="127" t="s">
        <v>12</v>
      </c>
      <c r="AK4" s="128"/>
      <c r="AL4" s="127" t="s">
        <v>235</v>
      </c>
      <c r="AM4" s="128"/>
      <c r="AN4" s="127" t="s">
        <v>293</v>
      </c>
      <c r="AO4" s="128"/>
      <c r="AP4" s="127" t="s">
        <v>236</v>
      </c>
      <c r="AQ4" s="128"/>
      <c r="AR4" s="127" t="s">
        <v>239</v>
      </c>
      <c r="AS4" s="128"/>
      <c r="AT4" s="127" t="s">
        <v>13</v>
      </c>
      <c r="AU4" s="128"/>
      <c r="AV4" s="127" t="s">
        <v>14</v>
      </c>
      <c r="AW4" s="128"/>
      <c r="AX4" s="127" t="s">
        <v>15</v>
      </c>
      <c r="AY4" s="128"/>
      <c r="AZ4" s="127" t="s">
        <v>16</v>
      </c>
      <c r="BA4" s="128"/>
      <c r="BB4" s="127" t="s">
        <v>17</v>
      </c>
      <c r="BC4" s="128"/>
      <c r="BD4" s="127" t="s">
        <v>237</v>
      </c>
      <c r="BE4" s="128"/>
      <c r="BF4" s="127" t="s">
        <v>238</v>
      </c>
      <c r="BG4" s="128"/>
      <c r="BH4" s="127" t="s">
        <v>18</v>
      </c>
      <c r="BI4" s="128"/>
      <c r="BJ4" s="127" t="s">
        <v>19</v>
      </c>
      <c r="BK4" s="128"/>
      <c r="BL4" s="129" t="s">
        <v>20</v>
      </c>
      <c r="BM4" s="130"/>
    </row>
    <row r="5" spans="1:65" ht="30" x14ac:dyDescent="0.25">
      <c r="A5" s="3"/>
      <c r="B5" s="32" t="s">
        <v>299</v>
      </c>
      <c r="C5" s="33" t="s">
        <v>298</v>
      </c>
      <c r="D5" s="32" t="s">
        <v>299</v>
      </c>
      <c r="E5" s="33" t="s">
        <v>298</v>
      </c>
      <c r="F5" s="32" t="s">
        <v>299</v>
      </c>
      <c r="G5" s="33" t="s">
        <v>298</v>
      </c>
      <c r="H5" s="32" t="s">
        <v>299</v>
      </c>
      <c r="I5" s="33" t="s">
        <v>298</v>
      </c>
      <c r="J5" s="32" t="s">
        <v>299</v>
      </c>
      <c r="K5" s="33" t="s">
        <v>298</v>
      </c>
      <c r="L5" s="32" t="s">
        <v>299</v>
      </c>
      <c r="M5" s="33" t="s">
        <v>298</v>
      </c>
      <c r="N5" s="32" t="s">
        <v>299</v>
      </c>
      <c r="O5" s="33" t="s">
        <v>298</v>
      </c>
      <c r="P5" s="32" t="s">
        <v>299</v>
      </c>
      <c r="Q5" s="33" t="s">
        <v>298</v>
      </c>
      <c r="R5" s="32" t="s">
        <v>299</v>
      </c>
      <c r="S5" s="33" t="s">
        <v>298</v>
      </c>
      <c r="T5" s="32" t="s">
        <v>299</v>
      </c>
      <c r="U5" s="33" t="s">
        <v>298</v>
      </c>
      <c r="V5" s="32" t="s">
        <v>299</v>
      </c>
      <c r="W5" s="33" t="s">
        <v>298</v>
      </c>
      <c r="X5" s="32" t="s">
        <v>299</v>
      </c>
      <c r="Y5" s="33" t="s">
        <v>298</v>
      </c>
      <c r="Z5" s="32" t="s">
        <v>299</v>
      </c>
      <c r="AA5" s="33" t="s">
        <v>298</v>
      </c>
      <c r="AB5" s="32" t="s">
        <v>299</v>
      </c>
      <c r="AC5" s="33" t="s">
        <v>298</v>
      </c>
      <c r="AD5" s="32" t="s">
        <v>299</v>
      </c>
      <c r="AE5" s="33" t="s">
        <v>298</v>
      </c>
      <c r="AF5" s="32" t="s">
        <v>299</v>
      </c>
      <c r="AG5" s="33" t="s">
        <v>298</v>
      </c>
      <c r="AH5" s="32" t="s">
        <v>299</v>
      </c>
      <c r="AI5" s="33" t="s">
        <v>298</v>
      </c>
      <c r="AJ5" s="32" t="s">
        <v>299</v>
      </c>
      <c r="AK5" s="33" t="s">
        <v>298</v>
      </c>
      <c r="AL5" s="32" t="s">
        <v>299</v>
      </c>
      <c r="AM5" s="33" t="s">
        <v>298</v>
      </c>
      <c r="AN5" s="32" t="s">
        <v>299</v>
      </c>
      <c r="AO5" s="33" t="s">
        <v>298</v>
      </c>
      <c r="AP5" s="32" t="s">
        <v>299</v>
      </c>
      <c r="AQ5" s="33" t="s">
        <v>298</v>
      </c>
      <c r="AR5" s="32" t="s">
        <v>299</v>
      </c>
      <c r="AS5" s="33" t="s">
        <v>298</v>
      </c>
      <c r="AT5" s="32" t="s">
        <v>299</v>
      </c>
      <c r="AU5" s="33" t="s">
        <v>298</v>
      </c>
      <c r="AV5" s="32" t="s">
        <v>299</v>
      </c>
      <c r="AW5" s="33" t="s">
        <v>298</v>
      </c>
      <c r="AX5" s="32" t="s">
        <v>299</v>
      </c>
      <c r="AY5" s="33" t="s">
        <v>298</v>
      </c>
      <c r="AZ5" s="32" t="s">
        <v>299</v>
      </c>
      <c r="BA5" s="33" t="s">
        <v>298</v>
      </c>
      <c r="BB5" s="32" t="s">
        <v>299</v>
      </c>
      <c r="BC5" s="33" t="s">
        <v>298</v>
      </c>
      <c r="BD5" s="32" t="s">
        <v>299</v>
      </c>
      <c r="BE5" s="33" t="s">
        <v>298</v>
      </c>
      <c r="BF5" s="32" t="s">
        <v>299</v>
      </c>
      <c r="BG5" s="33" t="s">
        <v>298</v>
      </c>
      <c r="BH5" s="32" t="s">
        <v>299</v>
      </c>
      <c r="BI5" s="33" t="s">
        <v>298</v>
      </c>
      <c r="BJ5" s="32" t="s">
        <v>299</v>
      </c>
      <c r="BK5" s="33" t="s">
        <v>298</v>
      </c>
      <c r="BL5" s="32" t="s">
        <v>299</v>
      </c>
      <c r="BM5" s="33" t="s">
        <v>298</v>
      </c>
    </row>
    <row r="6" spans="1:65" x14ac:dyDescent="0.25">
      <c r="A6" s="9" t="s">
        <v>280</v>
      </c>
      <c r="B6" s="9"/>
      <c r="C6" s="9"/>
      <c r="D6" s="9"/>
      <c r="E6" s="9"/>
      <c r="F6" s="9"/>
      <c r="G6" s="9"/>
      <c r="H6" s="9">
        <v>3623</v>
      </c>
      <c r="I6" s="9">
        <v>12000</v>
      </c>
      <c r="J6" s="9"/>
      <c r="K6" s="9"/>
      <c r="L6" s="9">
        <v>1408</v>
      </c>
      <c r="M6" s="9">
        <v>4728</v>
      </c>
      <c r="N6" s="9">
        <v>384</v>
      </c>
      <c r="O6" s="9">
        <v>1774</v>
      </c>
      <c r="P6" s="9"/>
      <c r="Q6" s="9"/>
      <c r="R6" s="9">
        <v>92.41</v>
      </c>
      <c r="S6" s="9">
        <v>217.49</v>
      </c>
      <c r="T6" s="9">
        <v>932.8</v>
      </c>
      <c r="U6" s="9">
        <v>3023.57</v>
      </c>
      <c r="V6" s="9">
        <v>2881</v>
      </c>
      <c r="W6" s="9">
        <v>10493</v>
      </c>
      <c r="X6" s="9">
        <v>4284</v>
      </c>
      <c r="Y6" s="9">
        <v>14086</v>
      </c>
      <c r="Z6" s="9">
        <v>1490</v>
      </c>
      <c r="AA6" s="9">
        <v>5581</v>
      </c>
      <c r="AB6" s="9">
        <v>90</v>
      </c>
      <c r="AC6" s="9">
        <v>331</v>
      </c>
      <c r="AD6" s="9">
        <v>71</v>
      </c>
      <c r="AE6" s="9">
        <v>502</v>
      </c>
      <c r="AF6" s="47">
        <v>379</v>
      </c>
      <c r="AG6" s="9">
        <v>1054</v>
      </c>
      <c r="AH6" s="9"/>
      <c r="AI6" s="9"/>
      <c r="AJ6" s="9"/>
      <c r="AK6" s="9"/>
      <c r="AL6" s="9">
        <v>-8</v>
      </c>
      <c r="AM6" s="9">
        <v>130</v>
      </c>
      <c r="AN6" s="9"/>
      <c r="AO6" s="9"/>
      <c r="AP6" s="9">
        <v>52</v>
      </c>
      <c r="AQ6" s="9">
        <v>208</v>
      </c>
      <c r="AR6" s="9">
        <v>1320</v>
      </c>
      <c r="AS6" s="9">
        <v>5520</v>
      </c>
      <c r="AT6" s="9">
        <v>655</v>
      </c>
      <c r="AU6" s="9">
        <v>2183</v>
      </c>
      <c r="AV6" s="9">
        <v>3827</v>
      </c>
      <c r="AW6" s="9">
        <v>11431</v>
      </c>
      <c r="AX6" s="9">
        <v>195</v>
      </c>
      <c r="AY6" s="9">
        <v>492</v>
      </c>
      <c r="AZ6" s="9"/>
      <c r="BA6" s="9"/>
      <c r="BB6" s="9">
        <v>3298</v>
      </c>
      <c r="BC6" s="9">
        <v>11334</v>
      </c>
      <c r="BD6" s="9"/>
      <c r="BE6" s="9"/>
      <c r="BF6" s="9">
        <v>3262</v>
      </c>
      <c r="BG6" s="9">
        <v>11308</v>
      </c>
      <c r="BH6" s="9"/>
      <c r="BI6" s="9"/>
      <c r="BJ6" s="9">
        <v>324</v>
      </c>
      <c r="BK6" s="9">
        <v>1268</v>
      </c>
      <c r="BL6" s="46">
        <f>SUM(B6+D6+F6+H6+J6+L6+N6+P6+R6+T6+V6+X6+Z6+AB6+AD6+AF6+AH6+AJ6+AL6+AN6+AP6+AR6+AT6+AV6+AX6+AZ6+BB6+BD6+BF6+BH6+BJ6)</f>
        <v>28560.21</v>
      </c>
      <c r="BM6" s="46">
        <f>SUM(C6+E6+G6+I6+K6+M6+O6+Q6+S6+U6+W6+Y6+AA6+AC6+AE6+AG6+AI6+AK6+AM6+AO6+AQ6+AS6+AU6+AW6+AY6+BA6+BC6+BE6+BG6+BI6+BK6)</f>
        <v>97664.06</v>
      </c>
    </row>
    <row r="7" spans="1:65" x14ac:dyDescent="0.25">
      <c r="A7" s="9" t="s">
        <v>281</v>
      </c>
      <c r="B7" s="9"/>
      <c r="C7" s="9"/>
      <c r="D7" s="9"/>
      <c r="E7" s="9"/>
      <c r="F7" s="9"/>
      <c r="G7" s="9"/>
      <c r="H7" s="9">
        <v>585</v>
      </c>
      <c r="I7" s="9">
        <v>1123</v>
      </c>
      <c r="J7" s="9"/>
      <c r="K7" s="9"/>
      <c r="L7" s="9">
        <v>78</v>
      </c>
      <c r="M7" s="9">
        <v>95</v>
      </c>
      <c r="N7" s="9">
        <v>113</v>
      </c>
      <c r="O7" s="9">
        <v>686</v>
      </c>
      <c r="P7" s="9"/>
      <c r="Q7" s="9"/>
      <c r="R7" s="9">
        <v>46.76</v>
      </c>
      <c r="S7" s="9">
        <v>90.9</v>
      </c>
      <c r="T7" s="9">
        <v>145.49</v>
      </c>
      <c r="U7" s="9">
        <v>386.47</v>
      </c>
      <c r="V7" s="9">
        <v>899</v>
      </c>
      <c r="W7" s="9">
        <v>3037</v>
      </c>
      <c r="X7" s="9">
        <v>1033</v>
      </c>
      <c r="Y7" s="9">
        <v>3707</v>
      </c>
      <c r="Z7" s="9">
        <v>272</v>
      </c>
      <c r="AA7" s="9">
        <v>1147</v>
      </c>
      <c r="AB7" s="9">
        <v>13</v>
      </c>
      <c r="AC7" s="9">
        <v>54</v>
      </c>
      <c r="AD7" s="9">
        <v>42</v>
      </c>
      <c r="AE7" s="9">
        <v>96</v>
      </c>
      <c r="AF7" s="47">
        <v>124</v>
      </c>
      <c r="AG7" s="9">
        <v>317</v>
      </c>
      <c r="AH7" s="9"/>
      <c r="AI7" s="9"/>
      <c r="AJ7" s="9"/>
      <c r="AK7" s="9"/>
      <c r="AL7" s="9"/>
      <c r="AM7" s="9"/>
      <c r="AN7" s="9"/>
      <c r="AO7" s="9"/>
      <c r="AP7" s="9">
        <v>15</v>
      </c>
      <c r="AQ7" s="9">
        <v>51</v>
      </c>
      <c r="AR7" s="9">
        <v>257</v>
      </c>
      <c r="AS7" s="9">
        <v>1142</v>
      </c>
      <c r="AT7" s="9">
        <v>190</v>
      </c>
      <c r="AU7" s="9">
        <v>692</v>
      </c>
      <c r="AV7" s="9">
        <v>482</v>
      </c>
      <c r="AW7" s="9">
        <v>1654</v>
      </c>
      <c r="AX7" s="9">
        <v>28</v>
      </c>
      <c r="AY7" s="9">
        <v>67</v>
      </c>
      <c r="AZ7" s="9"/>
      <c r="BA7" s="9"/>
      <c r="BB7" s="9">
        <v>744</v>
      </c>
      <c r="BC7" s="9">
        <v>2521</v>
      </c>
      <c r="BD7" s="9"/>
      <c r="BE7" s="9"/>
      <c r="BF7" s="9">
        <v>896</v>
      </c>
      <c r="BG7" s="9">
        <v>2722</v>
      </c>
      <c r="BH7" s="9"/>
      <c r="BI7" s="9"/>
      <c r="BJ7" s="9">
        <v>1</v>
      </c>
      <c r="BK7" s="9">
        <v>155</v>
      </c>
      <c r="BL7" s="46">
        <f t="shared" ref="BL7:BL12" si="0">SUM(B7+D7+F7+H7+J7+L7+N7+P7+R7+T7+V7+X7+Z7+AB7+AD7+AF7+AH7+AJ7+AL7+AN7+AP7+AR7+AT7+AV7+AX7+AZ7+BB7+BD7+BF7+BH7+BJ7)</f>
        <v>5964.25</v>
      </c>
      <c r="BM7" s="46">
        <f t="shared" ref="BM7:BM12" si="1">SUM(C7+E7+G7+I7+K7+M7+O7+Q7+S7+U7+W7+Y7+AA7+AC7+AE7+AG7+AI7+AK7+AM7+AO7+AQ7+AS7+AU7+AW7+AY7+BA7+BC7+BE7+BG7+BI7+BK7)</f>
        <v>19743.37</v>
      </c>
    </row>
    <row r="8" spans="1:65" x14ac:dyDescent="0.25">
      <c r="A8" s="9" t="s">
        <v>282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7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>
        <v>0</v>
      </c>
      <c r="BC8" s="9">
        <v>0</v>
      </c>
      <c r="BD8" s="9"/>
      <c r="BE8" s="9"/>
      <c r="BF8" s="9">
        <v>0</v>
      </c>
      <c r="BG8" s="9">
        <v>0</v>
      </c>
      <c r="BH8" s="9"/>
      <c r="BI8" s="9"/>
      <c r="BJ8" s="9"/>
      <c r="BK8" s="9"/>
      <c r="BL8" s="46">
        <f t="shared" si="0"/>
        <v>0</v>
      </c>
      <c r="BM8" s="46">
        <f t="shared" si="1"/>
        <v>0</v>
      </c>
    </row>
    <row r="9" spans="1:65" s="7" customFormat="1" x14ac:dyDescent="0.25">
      <c r="A9" s="10" t="s">
        <v>283</v>
      </c>
      <c r="B9" s="10"/>
      <c r="C9" s="10"/>
      <c r="D9" s="10"/>
      <c r="E9" s="10"/>
      <c r="F9" s="10"/>
      <c r="G9" s="10"/>
      <c r="H9" s="10">
        <v>4208</v>
      </c>
      <c r="I9" s="10">
        <v>13123</v>
      </c>
      <c r="J9" s="10"/>
      <c r="K9" s="10"/>
      <c r="L9" s="10">
        <v>1487</v>
      </c>
      <c r="M9" s="10">
        <v>4823</v>
      </c>
      <c r="N9" s="10">
        <v>497</v>
      </c>
      <c r="O9" s="10">
        <v>2460</v>
      </c>
      <c r="P9" s="10"/>
      <c r="Q9" s="10"/>
      <c r="R9" s="10">
        <v>139.16999999999999</v>
      </c>
      <c r="S9" s="10">
        <v>308.39</v>
      </c>
      <c r="T9" s="10">
        <v>1078.29</v>
      </c>
      <c r="U9" s="10">
        <v>3410.03</v>
      </c>
      <c r="V9" s="10">
        <v>3779</v>
      </c>
      <c r="W9" s="10">
        <v>13529</v>
      </c>
      <c r="X9" s="10">
        <v>5317</v>
      </c>
      <c r="Y9" s="10">
        <v>17793</v>
      </c>
      <c r="Z9" s="10">
        <v>1762</v>
      </c>
      <c r="AA9" s="10">
        <v>6728</v>
      </c>
      <c r="AB9" s="10">
        <v>103</v>
      </c>
      <c r="AC9" s="10">
        <v>385</v>
      </c>
      <c r="AD9" s="10">
        <v>113</v>
      </c>
      <c r="AE9" s="10">
        <v>599</v>
      </c>
      <c r="AF9" s="10">
        <v>503</v>
      </c>
      <c r="AG9" s="10">
        <v>1372</v>
      </c>
      <c r="AH9" s="10"/>
      <c r="AI9" s="10"/>
      <c r="AJ9" s="10">
        <v>1847</v>
      </c>
      <c r="AK9" s="10">
        <v>7843</v>
      </c>
      <c r="AL9" s="10">
        <v>-8</v>
      </c>
      <c r="AM9" s="10">
        <v>130</v>
      </c>
      <c r="AN9" s="10"/>
      <c r="AO9" s="10"/>
      <c r="AP9" s="10">
        <v>67</v>
      </c>
      <c r="AQ9" s="10">
        <v>259</v>
      </c>
      <c r="AR9" s="10">
        <v>1577</v>
      </c>
      <c r="AS9" s="10">
        <v>6662</v>
      </c>
      <c r="AT9" s="10">
        <v>845</v>
      </c>
      <c r="AU9" s="10">
        <v>2874</v>
      </c>
      <c r="AV9" s="10">
        <v>4309</v>
      </c>
      <c r="AW9" s="10">
        <v>13085</v>
      </c>
      <c r="AX9" s="10">
        <v>223</v>
      </c>
      <c r="AY9" s="10">
        <v>558</v>
      </c>
      <c r="AZ9" s="10"/>
      <c r="BA9" s="10"/>
      <c r="BB9" s="10">
        <v>4042</v>
      </c>
      <c r="BC9" s="10">
        <v>13855</v>
      </c>
      <c r="BD9" s="10">
        <v>12945</v>
      </c>
      <c r="BE9" s="10">
        <v>42659</v>
      </c>
      <c r="BF9" s="10">
        <v>4158</v>
      </c>
      <c r="BG9" s="10">
        <v>14030</v>
      </c>
      <c r="BH9" s="10">
        <v>3397</v>
      </c>
      <c r="BI9" s="10">
        <v>13502</v>
      </c>
      <c r="BJ9" s="10">
        <v>325</v>
      </c>
      <c r="BK9" s="10">
        <v>1423</v>
      </c>
      <c r="BL9" s="42">
        <f t="shared" si="0"/>
        <v>52713.46</v>
      </c>
      <c r="BM9" s="42">
        <f t="shared" si="1"/>
        <v>181410.41999999998</v>
      </c>
    </row>
    <row r="10" spans="1:65" x14ac:dyDescent="0.25">
      <c r="A10" s="9" t="s">
        <v>284</v>
      </c>
      <c r="B10" s="9"/>
      <c r="C10" s="9"/>
      <c r="D10" s="9"/>
      <c r="E10" s="9"/>
      <c r="F10" s="9"/>
      <c r="G10" s="9"/>
      <c r="H10" s="9">
        <v>449</v>
      </c>
      <c r="I10" s="9">
        <v>1220</v>
      </c>
      <c r="J10" s="9"/>
      <c r="K10" s="9"/>
      <c r="L10" s="9">
        <v>30</v>
      </c>
      <c r="M10" s="9">
        <v>83</v>
      </c>
      <c r="N10" s="9">
        <v>609</v>
      </c>
      <c r="O10" s="9">
        <v>2985</v>
      </c>
      <c r="P10" s="9"/>
      <c r="Q10" s="9"/>
      <c r="R10" s="9">
        <v>56.8</v>
      </c>
      <c r="S10" s="9">
        <v>156.16</v>
      </c>
      <c r="T10" s="9">
        <v>37.43</v>
      </c>
      <c r="U10" s="9">
        <v>461.3</v>
      </c>
      <c r="V10" s="9">
        <v>259</v>
      </c>
      <c r="W10" s="9">
        <v>1530</v>
      </c>
      <c r="X10" s="9">
        <v>567</v>
      </c>
      <c r="Y10" s="9">
        <v>2090</v>
      </c>
      <c r="Z10" s="9">
        <v>483</v>
      </c>
      <c r="AA10" s="9">
        <v>1323</v>
      </c>
      <c r="AB10" s="9">
        <v>8</v>
      </c>
      <c r="AC10" s="9">
        <v>66</v>
      </c>
      <c r="AD10" s="9">
        <v>51</v>
      </c>
      <c r="AE10" s="9">
        <v>79</v>
      </c>
      <c r="AF10" s="47">
        <v>121</v>
      </c>
      <c r="AG10" s="9">
        <v>604</v>
      </c>
      <c r="AH10" s="9"/>
      <c r="AI10" s="9"/>
      <c r="AJ10" s="9">
        <v>767</v>
      </c>
      <c r="AK10" s="9">
        <v>2047</v>
      </c>
      <c r="AL10" s="9">
        <v>5</v>
      </c>
      <c r="AM10" s="9">
        <v>10</v>
      </c>
      <c r="AN10" s="9"/>
      <c r="AO10" s="9"/>
      <c r="AP10" s="9">
        <v>23</v>
      </c>
      <c r="AQ10" s="9">
        <v>79</v>
      </c>
      <c r="AR10" s="9">
        <v>264</v>
      </c>
      <c r="AS10" s="9">
        <v>887</v>
      </c>
      <c r="AT10" s="9">
        <v>250</v>
      </c>
      <c r="AU10" s="9">
        <v>1186</v>
      </c>
      <c r="AV10" s="9">
        <v>54</v>
      </c>
      <c r="AW10" s="9">
        <v>179</v>
      </c>
      <c r="AX10" s="9">
        <v>74</v>
      </c>
      <c r="AY10" s="9">
        <v>113</v>
      </c>
      <c r="AZ10" s="9"/>
      <c r="BA10" s="9"/>
      <c r="BB10" s="9">
        <v>222</v>
      </c>
      <c r="BC10" s="9">
        <v>1094</v>
      </c>
      <c r="BD10" s="9">
        <v>4082</v>
      </c>
      <c r="BE10" s="9">
        <v>12300</v>
      </c>
      <c r="BF10" s="9">
        <v>199</v>
      </c>
      <c r="BG10" s="9">
        <v>2248</v>
      </c>
      <c r="BH10" s="9">
        <v>1486</v>
      </c>
      <c r="BI10" s="9">
        <v>1925</v>
      </c>
      <c r="BJ10" s="9">
        <v>56</v>
      </c>
      <c r="BK10" s="9">
        <v>113</v>
      </c>
      <c r="BL10" s="46">
        <f t="shared" si="0"/>
        <v>10153.23</v>
      </c>
      <c r="BM10" s="46">
        <f t="shared" si="1"/>
        <v>32778.46</v>
      </c>
    </row>
    <row r="11" spans="1:65" x14ac:dyDescent="0.25">
      <c r="A11" s="9" t="s">
        <v>285</v>
      </c>
      <c r="B11" s="9"/>
      <c r="C11" s="9"/>
      <c r="D11" s="9"/>
      <c r="E11" s="9"/>
      <c r="F11" s="9"/>
      <c r="G11" s="9"/>
      <c r="H11" s="9">
        <v>-11315</v>
      </c>
      <c r="I11" s="9">
        <v>-42540</v>
      </c>
      <c r="J11" s="9"/>
      <c r="K11" s="9"/>
      <c r="L11" s="9">
        <v>2265</v>
      </c>
      <c r="M11" s="9">
        <v>7168</v>
      </c>
      <c r="N11" s="9">
        <v>-6635</v>
      </c>
      <c r="O11" s="9">
        <v>-13525</v>
      </c>
      <c r="P11" s="9"/>
      <c r="Q11" s="9"/>
      <c r="R11" s="9">
        <v>203.96</v>
      </c>
      <c r="S11" s="9">
        <v>427.53</v>
      </c>
      <c r="T11" s="9">
        <v>2388.85</v>
      </c>
      <c r="U11" s="9">
        <v>6201.54</v>
      </c>
      <c r="V11" s="9">
        <v>-6688</v>
      </c>
      <c r="W11" s="9">
        <v>-27141</v>
      </c>
      <c r="X11" s="9">
        <v>11216</v>
      </c>
      <c r="Y11" s="9">
        <v>39983</v>
      </c>
      <c r="Z11" s="9">
        <v>4344</v>
      </c>
      <c r="AA11" s="9">
        <v>14024</v>
      </c>
      <c r="AB11" s="9">
        <v>202</v>
      </c>
      <c r="AC11" s="9">
        <v>755</v>
      </c>
      <c r="AD11" s="9">
        <v>111</v>
      </c>
      <c r="AE11" s="9">
        <v>734</v>
      </c>
      <c r="AF11" s="47">
        <v>-754</v>
      </c>
      <c r="AG11" s="9">
        <v>-2203</v>
      </c>
      <c r="AH11" s="9"/>
      <c r="AI11" s="9"/>
      <c r="AJ11" s="9">
        <v>1072</v>
      </c>
      <c r="AK11" s="9">
        <v>2434</v>
      </c>
      <c r="AL11" s="9">
        <v>6</v>
      </c>
      <c r="AM11" s="9">
        <v>-6</v>
      </c>
      <c r="AN11" s="9"/>
      <c r="AO11" s="9"/>
      <c r="AP11" s="9">
        <v>81</v>
      </c>
      <c r="AQ11" s="9">
        <v>281</v>
      </c>
      <c r="AR11" s="9">
        <v>3111</v>
      </c>
      <c r="AS11" s="9">
        <v>13172</v>
      </c>
      <c r="AT11" s="9">
        <v>1041</v>
      </c>
      <c r="AU11" s="9">
        <v>6843</v>
      </c>
      <c r="AV11" s="9">
        <v>6511</v>
      </c>
      <c r="AW11" s="9">
        <v>25332</v>
      </c>
      <c r="AX11" s="9">
        <v>90</v>
      </c>
      <c r="AY11" s="9">
        <v>237</v>
      </c>
      <c r="AZ11" s="9"/>
      <c r="BA11" s="9"/>
      <c r="BB11" s="9">
        <v>6464</v>
      </c>
      <c r="BC11" s="9">
        <v>25513</v>
      </c>
      <c r="BD11" s="9">
        <v>6325</v>
      </c>
      <c r="BE11" s="9">
        <v>27703</v>
      </c>
      <c r="BF11" s="9">
        <v>2449</v>
      </c>
      <c r="BG11" s="9">
        <v>7314</v>
      </c>
      <c r="BH11" s="9">
        <v>1371</v>
      </c>
      <c r="BI11" s="9">
        <v>6876</v>
      </c>
      <c r="BJ11" s="9">
        <v>689</v>
      </c>
      <c r="BK11" s="9">
        <v>4163</v>
      </c>
      <c r="BL11" s="46">
        <f t="shared" si="0"/>
        <v>24548.809999999998</v>
      </c>
      <c r="BM11" s="46">
        <f t="shared" si="1"/>
        <v>103746.07</v>
      </c>
    </row>
    <row r="12" spans="1:65" s="7" customFormat="1" x14ac:dyDescent="0.25">
      <c r="A12" s="10" t="s">
        <v>190</v>
      </c>
      <c r="B12" s="10"/>
      <c r="C12" s="10"/>
      <c r="D12" s="10"/>
      <c r="E12" s="10"/>
      <c r="F12" s="10"/>
      <c r="G12" s="10"/>
      <c r="H12" s="10">
        <v>-6659</v>
      </c>
      <c r="I12" s="10">
        <v>-28198</v>
      </c>
      <c r="J12" s="10"/>
      <c r="K12" s="10"/>
      <c r="L12" s="10">
        <v>-748</v>
      </c>
      <c r="M12" s="10">
        <v>-2262</v>
      </c>
      <c r="N12" s="10">
        <v>-5529</v>
      </c>
      <c r="O12" s="10">
        <v>-8080</v>
      </c>
      <c r="P12" s="10"/>
      <c r="Q12" s="10"/>
      <c r="R12" s="10">
        <v>-7.99</v>
      </c>
      <c r="S12" s="10">
        <v>37.020000000000003</v>
      </c>
      <c r="T12" s="10">
        <v>-1273.1199999999999</v>
      </c>
      <c r="U12" s="10">
        <v>-2330.21</v>
      </c>
      <c r="V12" s="10">
        <v>-2650</v>
      </c>
      <c r="W12" s="10">
        <v>-12082</v>
      </c>
      <c r="X12" s="10">
        <v>-5332</v>
      </c>
      <c r="Y12" s="10">
        <v>-20100</v>
      </c>
      <c r="Z12" s="10">
        <v>-2099</v>
      </c>
      <c r="AA12" s="10">
        <v>-5973</v>
      </c>
      <c r="AB12" s="10">
        <v>-91</v>
      </c>
      <c r="AC12" s="10">
        <v>-304</v>
      </c>
      <c r="AD12" s="10">
        <v>54</v>
      </c>
      <c r="AE12" s="10">
        <v>-56</v>
      </c>
      <c r="AF12" s="10">
        <v>-130</v>
      </c>
      <c r="AG12" s="10">
        <v>-227</v>
      </c>
      <c r="AH12" s="10"/>
      <c r="AI12" s="10"/>
      <c r="AJ12" s="10">
        <v>1543</v>
      </c>
      <c r="AK12" s="10">
        <v>7456</v>
      </c>
      <c r="AL12" s="10">
        <v>3</v>
      </c>
      <c r="AM12" s="10">
        <v>134</v>
      </c>
      <c r="AN12" s="10"/>
      <c r="AO12" s="10"/>
      <c r="AP12" s="10">
        <v>10</v>
      </c>
      <c r="AQ12" s="10">
        <v>58</v>
      </c>
      <c r="AR12" s="10">
        <v>-1269</v>
      </c>
      <c r="AS12" s="10">
        <v>-5623</v>
      </c>
      <c r="AT12" s="10">
        <v>54</v>
      </c>
      <c r="AU12" s="10">
        <v>-2782</v>
      </c>
      <c r="AV12" s="10">
        <v>-2148</v>
      </c>
      <c r="AW12" s="10">
        <v>-12068</v>
      </c>
      <c r="AX12" s="10">
        <v>206</v>
      </c>
      <c r="AY12" s="10">
        <v>435</v>
      </c>
      <c r="AZ12" s="10"/>
      <c r="BA12" s="10"/>
      <c r="BB12" s="10">
        <v>-2200</v>
      </c>
      <c r="BC12" s="10">
        <v>-10564</v>
      </c>
      <c r="BD12" s="10">
        <v>10702</v>
      </c>
      <c r="BE12" s="10">
        <v>27256</v>
      </c>
      <c r="BF12" s="10">
        <v>1908</v>
      </c>
      <c r="BG12" s="10">
        <v>8964</v>
      </c>
      <c r="BH12" s="10">
        <v>3512</v>
      </c>
      <c r="BI12" s="10">
        <v>8552</v>
      </c>
      <c r="BJ12" s="10">
        <v>-307</v>
      </c>
      <c r="BK12" s="10">
        <v>-2627</v>
      </c>
      <c r="BL12" s="42">
        <f t="shared" si="0"/>
        <v>-12451.11</v>
      </c>
      <c r="BM12" s="42">
        <f t="shared" si="1"/>
        <v>-60384.19</v>
      </c>
    </row>
    <row r="14" spans="1:65" x14ac:dyDescent="0.25">
      <c r="A14" s="17" t="s">
        <v>183</v>
      </c>
    </row>
    <row r="15" spans="1:65" x14ac:dyDescent="0.25">
      <c r="A15" s="3" t="s">
        <v>0</v>
      </c>
      <c r="B15" s="127" t="s">
        <v>1</v>
      </c>
      <c r="C15" s="128"/>
      <c r="D15" s="127" t="s">
        <v>232</v>
      </c>
      <c r="E15" s="128"/>
      <c r="F15" s="127" t="s">
        <v>2</v>
      </c>
      <c r="G15" s="128"/>
      <c r="H15" s="127" t="s">
        <v>3</v>
      </c>
      <c r="I15" s="128"/>
      <c r="J15" s="127" t="s">
        <v>241</v>
      </c>
      <c r="K15" s="128"/>
      <c r="L15" s="127" t="s">
        <v>233</v>
      </c>
      <c r="M15" s="128"/>
      <c r="N15" s="127" t="s">
        <v>244</v>
      </c>
      <c r="O15" s="128"/>
      <c r="P15" s="127" t="s">
        <v>5</v>
      </c>
      <c r="Q15" s="128"/>
      <c r="R15" s="127" t="s">
        <v>4</v>
      </c>
      <c r="S15" s="128"/>
      <c r="T15" s="127" t="s">
        <v>6</v>
      </c>
      <c r="U15" s="128"/>
      <c r="V15" s="127" t="s">
        <v>7</v>
      </c>
      <c r="W15" s="128"/>
      <c r="X15" s="127" t="s">
        <v>8</v>
      </c>
      <c r="Y15" s="128"/>
      <c r="Z15" s="127" t="s">
        <v>9</v>
      </c>
      <c r="AA15" s="128"/>
      <c r="AB15" s="127" t="s">
        <v>240</v>
      </c>
      <c r="AC15" s="128"/>
      <c r="AD15" s="127" t="s">
        <v>10</v>
      </c>
      <c r="AE15" s="128"/>
      <c r="AF15" s="127" t="s">
        <v>11</v>
      </c>
      <c r="AG15" s="128"/>
      <c r="AH15" s="127" t="s">
        <v>234</v>
      </c>
      <c r="AI15" s="128"/>
      <c r="AJ15" s="127" t="s">
        <v>12</v>
      </c>
      <c r="AK15" s="128"/>
      <c r="AL15" s="127" t="s">
        <v>235</v>
      </c>
      <c r="AM15" s="128"/>
      <c r="AN15" s="127" t="s">
        <v>293</v>
      </c>
      <c r="AO15" s="128"/>
      <c r="AP15" s="127" t="s">
        <v>236</v>
      </c>
      <c r="AQ15" s="128"/>
      <c r="AR15" s="127" t="s">
        <v>239</v>
      </c>
      <c r="AS15" s="128"/>
      <c r="AT15" s="127" t="s">
        <v>13</v>
      </c>
      <c r="AU15" s="128"/>
      <c r="AV15" s="127" t="s">
        <v>14</v>
      </c>
      <c r="AW15" s="128"/>
      <c r="AX15" s="127" t="s">
        <v>15</v>
      </c>
      <c r="AY15" s="128"/>
      <c r="AZ15" s="127" t="s">
        <v>16</v>
      </c>
      <c r="BA15" s="128"/>
      <c r="BB15" s="127" t="s">
        <v>17</v>
      </c>
      <c r="BC15" s="128"/>
      <c r="BD15" s="127" t="s">
        <v>237</v>
      </c>
      <c r="BE15" s="128"/>
      <c r="BF15" s="127" t="s">
        <v>238</v>
      </c>
      <c r="BG15" s="128"/>
      <c r="BH15" s="127" t="s">
        <v>18</v>
      </c>
      <c r="BI15" s="128"/>
      <c r="BJ15" s="127" t="s">
        <v>19</v>
      </c>
      <c r="BK15" s="128"/>
      <c r="BL15" s="129" t="s">
        <v>20</v>
      </c>
      <c r="BM15" s="130"/>
    </row>
    <row r="16" spans="1:65" ht="30" x14ac:dyDescent="0.25">
      <c r="A16" s="3"/>
      <c r="B16" s="32" t="s">
        <v>299</v>
      </c>
      <c r="C16" s="33" t="s">
        <v>298</v>
      </c>
      <c r="D16" s="32" t="s">
        <v>299</v>
      </c>
      <c r="E16" s="33" t="s">
        <v>298</v>
      </c>
      <c r="F16" s="32" t="s">
        <v>299</v>
      </c>
      <c r="G16" s="33" t="s">
        <v>298</v>
      </c>
      <c r="H16" s="32" t="s">
        <v>299</v>
      </c>
      <c r="I16" s="33" t="s">
        <v>298</v>
      </c>
      <c r="J16" s="32" t="s">
        <v>299</v>
      </c>
      <c r="K16" s="33" t="s">
        <v>298</v>
      </c>
      <c r="L16" s="32" t="s">
        <v>299</v>
      </c>
      <c r="M16" s="33" t="s">
        <v>298</v>
      </c>
      <c r="N16" s="32" t="s">
        <v>299</v>
      </c>
      <c r="O16" s="33" t="s">
        <v>298</v>
      </c>
      <c r="P16" s="32" t="s">
        <v>299</v>
      </c>
      <c r="Q16" s="33" t="s">
        <v>298</v>
      </c>
      <c r="R16" s="32" t="s">
        <v>299</v>
      </c>
      <c r="S16" s="33" t="s">
        <v>298</v>
      </c>
      <c r="T16" s="32" t="s">
        <v>299</v>
      </c>
      <c r="U16" s="33" t="s">
        <v>298</v>
      </c>
      <c r="V16" s="32" t="s">
        <v>299</v>
      </c>
      <c r="W16" s="33" t="s">
        <v>298</v>
      </c>
      <c r="X16" s="32" t="s">
        <v>299</v>
      </c>
      <c r="Y16" s="33" t="s">
        <v>298</v>
      </c>
      <c r="Z16" s="32" t="s">
        <v>299</v>
      </c>
      <c r="AA16" s="33" t="s">
        <v>298</v>
      </c>
      <c r="AB16" s="32" t="s">
        <v>299</v>
      </c>
      <c r="AC16" s="33" t="s">
        <v>298</v>
      </c>
      <c r="AD16" s="32" t="s">
        <v>299</v>
      </c>
      <c r="AE16" s="33" t="s">
        <v>298</v>
      </c>
      <c r="AF16" s="32" t="s">
        <v>299</v>
      </c>
      <c r="AG16" s="33" t="s">
        <v>298</v>
      </c>
      <c r="AH16" s="32" t="s">
        <v>299</v>
      </c>
      <c r="AI16" s="33" t="s">
        <v>298</v>
      </c>
      <c r="AJ16" s="32" t="s">
        <v>299</v>
      </c>
      <c r="AK16" s="33" t="s">
        <v>298</v>
      </c>
      <c r="AL16" s="32" t="s">
        <v>299</v>
      </c>
      <c r="AM16" s="33" t="s">
        <v>298</v>
      </c>
      <c r="AN16" s="32" t="s">
        <v>299</v>
      </c>
      <c r="AO16" s="33" t="s">
        <v>298</v>
      </c>
      <c r="AP16" s="32" t="s">
        <v>299</v>
      </c>
      <c r="AQ16" s="33" t="s">
        <v>298</v>
      </c>
      <c r="AR16" s="32" t="s">
        <v>299</v>
      </c>
      <c r="AS16" s="33" t="s">
        <v>298</v>
      </c>
      <c r="AT16" s="32" t="s">
        <v>299</v>
      </c>
      <c r="AU16" s="33" t="s">
        <v>298</v>
      </c>
      <c r="AV16" s="32" t="s">
        <v>299</v>
      </c>
      <c r="AW16" s="33" t="s">
        <v>298</v>
      </c>
      <c r="AX16" s="32" t="s">
        <v>299</v>
      </c>
      <c r="AY16" s="33" t="s">
        <v>298</v>
      </c>
      <c r="AZ16" s="32" t="s">
        <v>299</v>
      </c>
      <c r="BA16" s="33" t="s">
        <v>298</v>
      </c>
      <c r="BB16" s="32" t="s">
        <v>299</v>
      </c>
      <c r="BC16" s="33" t="s">
        <v>298</v>
      </c>
      <c r="BD16" s="32" t="s">
        <v>299</v>
      </c>
      <c r="BE16" s="33" t="s">
        <v>298</v>
      </c>
      <c r="BF16" s="32" t="s">
        <v>299</v>
      </c>
      <c r="BG16" s="33" t="s">
        <v>298</v>
      </c>
      <c r="BH16" s="32" t="s">
        <v>299</v>
      </c>
      <c r="BI16" s="33" t="s">
        <v>298</v>
      </c>
      <c r="BJ16" s="32" t="s">
        <v>299</v>
      </c>
      <c r="BK16" s="33" t="s">
        <v>298</v>
      </c>
      <c r="BL16" s="32" t="s">
        <v>299</v>
      </c>
      <c r="BM16" s="33" t="s">
        <v>298</v>
      </c>
    </row>
    <row r="17" spans="1:65" x14ac:dyDescent="0.25">
      <c r="A17" s="9" t="s">
        <v>280</v>
      </c>
      <c r="B17" s="9"/>
      <c r="C17" s="9"/>
      <c r="D17" s="9"/>
      <c r="E17" s="9"/>
      <c r="F17" s="9"/>
      <c r="G17" s="9"/>
      <c r="H17" s="9">
        <v>489</v>
      </c>
      <c r="I17" s="9">
        <v>1645</v>
      </c>
      <c r="J17" s="9"/>
      <c r="K17" s="9"/>
      <c r="L17" s="9">
        <v>214</v>
      </c>
      <c r="M17" s="9">
        <v>726</v>
      </c>
      <c r="N17" s="9">
        <v>31</v>
      </c>
      <c r="O17" s="9">
        <v>113</v>
      </c>
      <c r="P17" s="9"/>
      <c r="Q17" s="9"/>
      <c r="R17" s="9"/>
      <c r="S17" s="9">
        <v>15.53</v>
      </c>
      <c r="T17" s="9">
        <v>272.45999999999998</v>
      </c>
      <c r="U17" s="9">
        <v>981.59</v>
      </c>
      <c r="V17" s="9">
        <v>550</v>
      </c>
      <c r="W17" s="9">
        <v>1917</v>
      </c>
      <c r="X17" s="9">
        <v>1381</v>
      </c>
      <c r="Y17" s="9">
        <v>4875</v>
      </c>
      <c r="Z17" s="9">
        <v>549</v>
      </c>
      <c r="AA17" s="9">
        <v>1878</v>
      </c>
      <c r="AB17" s="9">
        <v>57</v>
      </c>
      <c r="AC17" s="9">
        <v>163</v>
      </c>
      <c r="AD17" s="9">
        <v>119</v>
      </c>
      <c r="AE17" s="9">
        <v>408</v>
      </c>
      <c r="AF17" s="47">
        <v>49</v>
      </c>
      <c r="AG17" s="9">
        <v>145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>
        <v>250</v>
      </c>
      <c r="AS17" s="9">
        <v>1049</v>
      </c>
      <c r="AT17" s="9">
        <v>148</v>
      </c>
      <c r="AU17" s="9">
        <v>446</v>
      </c>
      <c r="AV17" s="9">
        <v>260</v>
      </c>
      <c r="AW17" s="9">
        <v>866</v>
      </c>
      <c r="AX17" s="9">
        <v>2</v>
      </c>
      <c r="AY17" s="9">
        <v>11</v>
      </c>
      <c r="AZ17" s="9"/>
      <c r="BA17" s="9"/>
      <c r="BB17" s="9">
        <v>1634</v>
      </c>
      <c r="BC17" s="9">
        <v>5637</v>
      </c>
      <c r="BD17" s="9"/>
      <c r="BE17" s="9"/>
      <c r="BF17" s="9">
        <v>896</v>
      </c>
      <c r="BG17" s="9">
        <v>2820</v>
      </c>
      <c r="BH17" s="9"/>
      <c r="BI17" s="9"/>
      <c r="BJ17" s="9">
        <v>43</v>
      </c>
      <c r="BK17" s="9">
        <v>99</v>
      </c>
      <c r="BL17" s="46">
        <f t="shared" ref="BL17:BL23" si="2">SUM(B17+D17+F17+H17+J17+L17+N17+P17+R17+T17+V17+X17+Z17+AB17+AD17+AF17+AH17+AJ17+AL17+AN28+AP17+AR17+AT17+AV17+AX17+AZ17+BB17+BD17+BF17+BH17+BJ17)</f>
        <v>6944.46</v>
      </c>
      <c r="BM17" s="46">
        <f t="shared" ref="BM17:BM19" si="3">SUM(C17+E17+G17+I17+K17+M17+O17+Q17+S17+U17+W17+Y17+AA17+AC17+AE17+AG17+AI17+AK17+AM17+AO17+AQ17+AS17+AU17+AW17+AY17+BA17+BC17+BE17+BG17+BI17+BK17)</f>
        <v>23795.120000000003</v>
      </c>
    </row>
    <row r="18" spans="1:65" x14ac:dyDescent="0.25">
      <c r="A18" s="9" t="s">
        <v>281</v>
      </c>
      <c r="B18" s="9"/>
      <c r="C18" s="9"/>
      <c r="D18" s="9"/>
      <c r="E18" s="9"/>
      <c r="F18" s="9"/>
      <c r="G18" s="9"/>
      <c r="H18" s="9">
        <v>37</v>
      </c>
      <c r="I18" s="9">
        <v>74</v>
      </c>
      <c r="J18" s="9"/>
      <c r="K18" s="9"/>
      <c r="L18" s="9">
        <v>12</v>
      </c>
      <c r="M18" s="9">
        <v>15</v>
      </c>
      <c r="N18" s="9">
        <v>6</v>
      </c>
      <c r="O18" s="9">
        <v>5</v>
      </c>
      <c r="P18" s="9"/>
      <c r="Q18" s="9"/>
      <c r="R18" s="9"/>
      <c r="S18" s="9">
        <v>0.16</v>
      </c>
      <c r="T18" s="9">
        <v>-12.33</v>
      </c>
      <c r="U18" s="9">
        <v>60.09</v>
      </c>
      <c r="V18" s="9">
        <v>73</v>
      </c>
      <c r="W18" s="9">
        <v>194</v>
      </c>
      <c r="X18" s="9">
        <v>186</v>
      </c>
      <c r="Y18" s="9">
        <v>635</v>
      </c>
      <c r="Z18" s="9">
        <v>160</v>
      </c>
      <c r="AA18" s="9">
        <v>511</v>
      </c>
      <c r="AB18" s="9">
        <v>17</v>
      </c>
      <c r="AC18" s="9">
        <v>49</v>
      </c>
      <c r="AD18" s="9">
        <v>17</v>
      </c>
      <c r="AE18" s="9">
        <v>63</v>
      </c>
      <c r="AF18" s="47">
        <v>4</v>
      </c>
      <c r="AG18" s="9">
        <v>7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>
        <v>52</v>
      </c>
      <c r="AS18" s="9">
        <v>231</v>
      </c>
      <c r="AT18" s="9">
        <v>41</v>
      </c>
      <c r="AU18" s="9">
        <v>145</v>
      </c>
      <c r="AV18" s="9">
        <v>78</v>
      </c>
      <c r="AW18" s="9">
        <v>259</v>
      </c>
      <c r="AX18" s="9">
        <v>1</v>
      </c>
      <c r="AY18" s="9">
        <v>2</v>
      </c>
      <c r="AZ18" s="9"/>
      <c r="BA18" s="9"/>
      <c r="BB18" s="9">
        <v>608</v>
      </c>
      <c r="BC18" s="9">
        <v>1399</v>
      </c>
      <c r="BD18" s="9"/>
      <c r="BE18" s="9"/>
      <c r="BF18" s="9">
        <v>148</v>
      </c>
      <c r="BG18" s="9">
        <v>399</v>
      </c>
      <c r="BH18" s="9"/>
      <c r="BI18" s="9"/>
      <c r="BJ18" s="9">
        <v>1</v>
      </c>
      <c r="BK18" s="9">
        <v>8</v>
      </c>
      <c r="BL18" s="46">
        <f t="shared" si="2"/>
        <v>1428.67</v>
      </c>
      <c r="BM18" s="46">
        <f t="shared" si="3"/>
        <v>4056.25</v>
      </c>
    </row>
    <row r="19" spans="1:65" x14ac:dyDescent="0.25">
      <c r="A19" s="9" t="s">
        <v>282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7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>
        <v>0</v>
      </c>
      <c r="BG19" s="9">
        <v>0</v>
      </c>
      <c r="BH19" s="9"/>
      <c r="BI19" s="9"/>
      <c r="BJ19" s="9"/>
      <c r="BK19" s="9"/>
      <c r="BL19" s="46">
        <f t="shared" si="2"/>
        <v>0</v>
      </c>
      <c r="BM19" s="46">
        <f t="shared" si="3"/>
        <v>0</v>
      </c>
    </row>
    <row r="20" spans="1:65" s="7" customFormat="1" x14ac:dyDescent="0.25">
      <c r="A20" s="10" t="s">
        <v>283</v>
      </c>
      <c r="B20" s="10"/>
      <c r="C20" s="10"/>
      <c r="D20" s="10"/>
      <c r="E20" s="10"/>
      <c r="F20" s="10"/>
      <c r="G20" s="10"/>
      <c r="H20" s="10">
        <v>526</v>
      </c>
      <c r="I20" s="10">
        <v>1719</v>
      </c>
      <c r="J20" s="10"/>
      <c r="K20" s="10"/>
      <c r="L20" s="10">
        <v>225</v>
      </c>
      <c r="M20" s="10">
        <v>741</v>
      </c>
      <c r="N20" s="10">
        <v>37</v>
      </c>
      <c r="O20" s="10">
        <v>138</v>
      </c>
      <c r="P20" s="10"/>
      <c r="Q20" s="10"/>
      <c r="R20" s="10"/>
      <c r="S20" s="10">
        <v>15.69</v>
      </c>
      <c r="T20" s="10">
        <v>260.13</v>
      </c>
      <c r="U20" s="10">
        <v>1041.69</v>
      </c>
      <c r="V20" s="10">
        <v>623</v>
      </c>
      <c r="W20" s="10">
        <v>2111</v>
      </c>
      <c r="X20" s="10">
        <v>1567</v>
      </c>
      <c r="Y20" s="10">
        <v>5510</v>
      </c>
      <c r="Z20" s="10">
        <v>709</v>
      </c>
      <c r="AA20" s="10">
        <v>2389</v>
      </c>
      <c r="AB20" s="10">
        <v>74</v>
      </c>
      <c r="AC20" s="10">
        <v>211</v>
      </c>
      <c r="AD20" s="10">
        <v>136</v>
      </c>
      <c r="AE20" s="10">
        <v>472</v>
      </c>
      <c r="AF20" s="10">
        <v>53</v>
      </c>
      <c r="AG20" s="10">
        <v>152</v>
      </c>
      <c r="AH20" s="10"/>
      <c r="AI20" s="10"/>
      <c r="AJ20" s="10">
        <v>495</v>
      </c>
      <c r="AK20" s="10">
        <v>1732</v>
      </c>
      <c r="AL20" s="10"/>
      <c r="AM20" s="10"/>
      <c r="AN20" s="10"/>
      <c r="AO20" s="10"/>
      <c r="AP20" s="10"/>
      <c r="AQ20" s="10"/>
      <c r="AR20" s="10">
        <v>302</v>
      </c>
      <c r="AS20" s="10">
        <v>1280</v>
      </c>
      <c r="AT20" s="10">
        <v>189</v>
      </c>
      <c r="AU20" s="10">
        <v>591</v>
      </c>
      <c r="AV20" s="10">
        <v>338</v>
      </c>
      <c r="AW20" s="10">
        <v>1125</v>
      </c>
      <c r="AX20" s="10">
        <v>3</v>
      </c>
      <c r="AY20" s="10">
        <v>14</v>
      </c>
      <c r="AZ20" s="10"/>
      <c r="BA20" s="10"/>
      <c r="BB20" s="10">
        <v>2242</v>
      </c>
      <c r="BC20" s="10">
        <v>7036</v>
      </c>
      <c r="BD20" s="10">
        <v>2048</v>
      </c>
      <c r="BE20" s="10">
        <v>6914</v>
      </c>
      <c r="BF20" s="10">
        <v>1044</v>
      </c>
      <c r="BG20" s="10">
        <v>3219</v>
      </c>
      <c r="BH20" s="10">
        <v>691</v>
      </c>
      <c r="BI20" s="10">
        <v>2415</v>
      </c>
      <c r="BJ20" s="10">
        <v>43</v>
      </c>
      <c r="BK20" s="10">
        <v>107</v>
      </c>
      <c r="BL20" s="42">
        <f t="shared" si="2"/>
        <v>11605.130000000001</v>
      </c>
      <c r="BM20" s="42">
        <f>SUM(C20+E20+G20+I20+K20+M20+O20+Q30+S20+U20+W20+Y20+AA20+AC20+AE20+AG20+AI20+AK20+AM20+AO20+AQ30+AS20+AU20+AW20+AY20+BA20+BC20+BE20+BG20+BI20+BK20)</f>
        <v>38933.380000000005</v>
      </c>
    </row>
    <row r="21" spans="1:65" x14ac:dyDescent="0.25">
      <c r="A21" s="9" t="s">
        <v>284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12</v>
      </c>
      <c r="O21" s="9">
        <v>53</v>
      </c>
      <c r="P21" s="9"/>
      <c r="Q21" s="9"/>
      <c r="R21" s="9"/>
      <c r="S21" s="9"/>
      <c r="T21" s="9">
        <v>-0.7</v>
      </c>
      <c r="U21" s="9">
        <v>10.19</v>
      </c>
      <c r="V21" s="9">
        <v>12</v>
      </c>
      <c r="W21" s="9">
        <v>68</v>
      </c>
      <c r="X21" s="9">
        <v>55</v>
      </c>
      <c r="Y21" s="9">
        <v>170</v>
      </c>
      <c r="Z21" s="9">
        <v>1</v>
      </c>
      <c r="AA21" s="9">
        <v>3</v>
      </c>
      <c r="AB21" s="9"/>
      <c r="AC21" s="9">
        <v>0</v>
      </c>
      <c r="AD21" s="9">
        <v>1</v>
      </c>
      <c r="AE21" s="9">
        <v>1</v>
      </c>
      <c r="AF21" s="47">
        <v>14</v>
      </c>
      <c r="AG21" s="9">
        <v>19</v>
      </c>
      <c r="AH21" s="9"/>
      <c r="AI21" s="9"/>
      <c r="AJ21" s="9">
        <v>75</v>
      </c>
      <c r="AK21" s="9">
        <v>157</v>
      </c>
      <c r="AL21" s="9"/>
      <c r="AM21" s="9"/>
      <c r="AN21" s="9"/>
      <c r="AO21" s="9"/>
      <c r="AP21" s="9"/>
      <c r="AQ21" s="9"/>
      <c r="AR21" s="9">
        <v>0</v>
      </c>
      <c r="AS21" s="9">
        <v>3</v>
      </c>
      <c r="AT21" s="9"/>
      <c r="AU21" s="9">
        <v>0</v>
      </c>
      <c r="AV21" s="9">
        <v>12</v>
      </c>
      <c r="AW21" s="9">
        <v>56</v>
      </c>
      <c r="AX21" s="9"/>
      <c r="AY21" s="9"/>
      <c r="AZ21" s="9"/>
      <c r="BA21" s="9"/>
      <c r="BB21" s="9">
        <v>64</v>
      </c>
      <c r="BC21" s="9">
        <v>118</v>
      </c>
      <c r="BD21" s="9">
        <v>95</v>
      </c>
      <c r="BE21" s="9">
        <v>535</v>
      </c>
      <c r="BF21" s="9">
        <v>24</v>
      </c>
      <c r="BG21" s="9">
        <v>123</v>
      </c>
      <c r="BH21" s="9">
        <v>43</v>
      </c>
      <c r="BI21" s="9">
        <v>80</v>
      </c>
      <c r="BJ21" s="9">
        <v>1</v>
      </c>
      <c r="BK21" s="9">
        <v>4</v>
      </c>
      <c r="BL21" s="46">
        <f t="shared" si="2"/>
        <v>408.3</v>
      </c>
      <c r="BM21" s="46">
        <f>SUM(C21+E21+G21+I21+K21+M21+O21+Q31+S21+U21+W21+Y21+AA21+AC21+AE21+AG21+AI21+AK21+AM21+AO21+AQ31+AS21+AU21+AW21+AY21+BA21+BC21+BE21+BG21+BI21+BK21)</f>
        <v>4772.1900000000005</v>
      </c>
    </row>
    <row r="22" spans="1:65" x14ac:dyDescent="0.25">
      <c r="A22" s="9" t="s">
        <v>285</v>
      </c>
      <c r="B22" s="9"/>
      <c r="C22" s="9"/>
      <c r="D22" s="9"/>
      <c r="E22" s="9"/>
      <c r="F22" s="9"/>
      <c r="G22" s="9"/>
      <c r="H22" s="9">
        <v>-95</v>
      </c>
      <c r="I22" s="9">
        <v>-493</v>
      </c>
      <c r="J22" s="9"/>
      <c r="K22" s="9"/>
      <c r="L22" s="9">
        <v>193</v>
      </c>
      <c r="M22" s="9">
        <v>1020</v>
      </c>
      <c r="N22" s="9">
        <v>-103</v>
      </c>
      <c r="O22" s="9">
        <v>-656</v>
      </c>
      <c r="P22" s="9"/>
      <c r="Q22" s="9"/>
      <c r="R22" s="9">
        <v>16.510000000000002</v>
      </c>
      <c r="S22" s="9">
        <v>31.39</v>
      </c>
      <c r="T22" s="9">
        <v>62.72</v>
      </c>
      <c r="U22" s="9">
        <v>190.54</v>
      </c>
      <c r="V22" s="9">
        <v>-61</v>
      </c>
      <c r="W22" s="9">
        <v>-246</v>
      </c>
      <c r="X22" s="9">
        <v>284</v>
      </c>
      <c r="Y22" s="9">
        <v>963</v>
      </c>
      <c r="Z22" s="9">
        <v>580</v>
      </c>
      <c r="AA22" s="9">
        <v>2018</v>
      </c>
      <c r="AB22" s="9">
        <v>55</v>
      </c>
      <c r="AC22" s="9">
        <v>168</v>
      </c>
      <c r="AD22" s="9">
        <v>5</v>
      </c>
      <c r="AE22" s="9">
        <v>32</v>
      </c>
      <c r="AF22" s="47">
        <v>-42</v>
      </c>
      <c r="AG22" s="9">
        <v>-168</v>
      </c>
      <c r="AH22" s="9"/>
      <c r="AI22" s="9"/>
      <c r="AJ22" s="9">
        <v>120</v>
      </c>
      <c r="AK22" s="9">
        <v>696</v>
      </c>
      <c r="AL22" s="9"/>
      <c r="AM22" s="9"/>
      <c r="AN22" s="9"/>
      <c r="AO22" s="9"/>
      <c r="AP22" s="9"/>
      <c r="AQ22" s="9"/>
      <c r="AR22" s="9">
        <v>637</v>
      </c>
      <c r="AS22" s="9">
        <v>1296</v>
      </c>
      <c r="AT22" s="9">
        <v>99</v>
      </c>
      <c r="AU22" s="9">
        <v>321</v>
      </c>
      <c r="AV22" s="9">
        <v>16</v>
      </c>
      <c r="AW22" s="9">
        <v>69</v>
      </c>
      <c r="AX22" s="9">
        <v>3</v>
      </c>
      <c r="AY22" s="9">
        <v>9</v>
      </c>
      <c r="AZ22" s="9"/>
      <c r="BA22" s="9"/>
      <c r="BB22" s="9">
        <v>329</v>
      </c>
      <c r="BC22" s="9">
        <v>819</v>
      </c>
      <c r="BD22" s="9">
        <v>486</v>
      </c>
      <c r="BE22" s="9">
        <v>1642</v>
      </c>
      <c r="BF22" s="9">
        <v>-27</v>
      </c>
      <c r="BG22" s="9">
        <v>1048</v>
      </c>
      <c r="BH22" s="9">
        <v>67</v>
      </c>
      <c r="BI22" s="9">
        <v>441</v>
      </c>
      <c r="BJ22" s="9">
        <v>171</v>
      </c>
      <c r="BK22" s="9">
        <v>377</v>
      </c>
      <c r="BL22" s="46">
        <f t="shared" si="2"/>
        <v>2796.23</v>
      </c>
      <c r="BM22" s="46">
        <f>SUM(C22+E22+G22+I22+K22+M22+O22+Q32+S22+U22+W22+Y22+AA22+AC22+AE22+AG22+AI22+AK22+AM22+AO22+AQ32+AS22+AU22+AW22+AY22+BA22+BC22+BE22+BG22+BI22+BK22)</f>
        <v>9577.93</v>
      </c>
    </row>
    <row r="23" spans="1:65" s="7" customFormat="1" x14ac:dyDescent="0.25">
      <c r="A23" s="10" t="s">
        <v>190</v>
      </c>
      <c r="B23" s="10"/>
      <c r="C23" s="10"/>
      <c r="D23" s="10"/>
      <c r="E23" s="10"/>
      <c r="F23" s="10"/>
      <c r="G23" s="10"/>
      <c r="H23" s="10">
        <v>431</v>
      </c>
      <c r="I23" s="10">
        <v>1226</v>
      </c>
      <c r="J23" s="10"/>
      <c r="K23" s="10"/>
      <c r="L23" s="10">
        <v>32</v>
      </c>
      <c r="M23" s="10">
        <v>-279</v>
      </c>
      <c r="N23" s="10">
        <v>-54</v>
      </c>
      <c r="O23" s="10">
        <v>-465</v>
      </c>
      <c r="P23" s="10"/>
      <c r="Q23" s="10"/>
      <c r="R23" s="10">
        <v>-16.510000000000002</v>
      </c>
      <c r="S23" s="10">
        <v>-15.7</v>
      </c>
      <c r="T23" s="10">
        <v>196.7</v>
      </c>
      <c r="U23" s="10">
        <v>861.33</v>
      </c>
      <c r="V23" s="10">
        <v>574</v>
      </c>
      <c r="W23" s="10">
        <v>1933</v>
      </c>
      <c r="X23" s="10">
        <v>1338</v>
      </c>
      <c r="Y23" s="10">
        <v>4717</v>
      </c>
      <c r="Z23" s="10">
        <v>130</v>
      </c>
      <c r="AA23" s="10">
        <v>374</v>
      </c>
      <c r="AB23" s="10">
        <v>19</v>
      </c>
      <c r="AC23" s="10">
        <v>44</v>
      </c>
      <c r="AD23" s="10">
        <v>132</v>
      </c>
      <c r="AE23" s="10">
        <v>441</v>
      </c>
      <c r="AF23" s="10">
        <v>24</v>
      </c>
      <c r="AG23" s="10">
        <v>4</v>
      </c>
      <c r="AH23" s="10"/>
      <c r="AI23" s="10"/>
      <c r="AJ23" s="10">
        <v>451</v>
      </c>
      <c r="AK23" s="10">
        <v>1193</v>
      </c>
      <c r="AL23" s="10"/>
      <c r="AM23" s="10"/>
      <c r="AN23" s="10"/>
      <c r="AO23" s="10"/>
      <c r="AP23" s="10"/>
      <c r="AQ23" s="10"/>
      <c r="AR23" s="10">
        <v>-335</v>
      </c>
      <c r="AS23" s="10">
        <v>-13</v>
      </c>
      <c r="AT23" s="10">
        <v>90</v>
      </c>
      <c r="AU23" s="10">
        <v>270</v>
      </c>
      <c r="AV23" s="10">
        <v>334</v>
      </c>
      <c r="AW23" s="10">
        <v>1112</v>
      </c>
      <c r="AX23" s="10">
        <v>1</v>
      </c>
      <c r="AY23" s="10">
        <v>5</v>
      </c>
      <c r="AZ23" s="10"/>
      <c r="BA23" s="10"/>
      <c r="BB23" s="10">
        <v>1977</v>
      </c>
      <c r="BC23" s="10">
        <v>6335</v>
      </c>
      <c r="BD23" s="10">
        <v>1657</v>
      </c>
      <c r="BE23" s="10">
        <v>5807</v>
      </c>
      <c r="BF23" s="10">
        <v>1095</v>
      </c>
      <c r="BG23" s="10">
        <v>2294</v>
      </c>
      <c r="BH23" s="10">
        <v>667</v>
      </c>
      <c r="BI23" s="10">
        <v>2054</v>
      </c>
      <c r="BJ23" s="10">
        <v>-126</v>
      </c>
      <c r="BK23" s="10">
        <v>-267</v>
      </c>
      <c r="BL23" s="42">
        <f t="shared" si="2"/>
        <v>8617.19</v>
      </c>
      <c r="BM23" s="42">
        <f>SUM(C23+E23+G23+I23+K23+M23+O23+Q33+S23+U23+W23+Y23+AA23+AC23+AE23+AG23+AI23+AK23+AM23+AO23+AQ33+AS23+AU23+AW23+AY23+BA23+BC23+BE23+BG23+BI23+BK23)</f>
        <v>27825.63</v>
      </c>
    </row>
    <row r="25" spans="1:65" x14ac:dyDescent="0.25">
      <c r="A25" s="17" t="s">
        <v>184</v>
      </c>
    </row>
    <row r="26" spans="1:65" x14ac:dyDescent="0.25">
      <c r="A26" s="3" t="s">
        <v>0</v>
      </c>
      <c r="B26" s="127" t="s">
        <v>1</v>
      </c>
      <c r="C26" s="128"/>
      <c r="D26" s="127" t="s">
        <v>232</v>
      </c>
      <c r="E26" s="128"/>
      <c r="F26" s="127" t="s">
        <v>2</v>
      </c>
      <c r="G26" s="128"/>
      <c r="H26" s="127" t="s">
        <v>3</v>
      </c>
      <c r="I26" s="128"/>
      <c r="J26" s="127" t="s">
        <v>241</v>
      </c>
      <c r="K26" s="128"/>
      <c r="L26" s="127" t="s">
        <v>233</v>
      </c>
      <c r="M26" s="128"/>
      <c r="N26" s="127" t="s">
        <v>244</v>
      </c>
      <c r="O26" s="128"/>
      <c r="P26" s="127" t="s">
        <v>5</v>
      </c>
      <c r="Q26" s="128"/>
      <c r="R26" s="127" t="s">
        <v>4</v>
      </c>
      <c r="S26" s="128"/>
      <c r="T26" s="127" t="s">
        <v>6</v>
      </c>
      <c r="U26" s="128"/>
      <c r="V26" s="127" t="s">
        <v>7</v>
      </c>
      <c r="W26" s="128"/>
      <c r="X26" s="127" t="s">
        <v>8</v>
      </c>
      <c r="Y26" s="128"/>
      <c r="Z26" s="127" t="s">
        <v>9</v>
      </c>
      <c r="AA26" s="128"/>
      <c r="AB26" s="127" t="s">
        <v>240</v>
      </c>
      <c r="AC26" s="128"/>
      <c r="AD26" s="127" t="s">
        <v>10</v>
      </c>
      <c r="AE26" s="128"/>
      <c r="AF26" s="127" t="s">
        <v>11</v>
      </c>
      <c r="AG26" s="128"/>
      <c r="AH26" s="127" t="s">
        <v>234</v>
      </c>
      <c r="AI26" s="128"/>
      <c r="AJ26" s="127" t="s">
        <v>12</v>
      </c>
      <c r="AK26" s="128"/>
      <c r="AL26" s="127" t="s">
        <v>235</v>
      </c>
      <c r="AM26" s="128"/>
      <c r="AN26" s="127" t="s">
        <v>293</v>
      </c>
      <c r="AO26" s="128"/>
      <c r="AP26" s="127" t="s">
        <v>236</v>
      </c>
      <c r="AQ26" s="128"/>
      <c r="AR26" s="127" t="s">
        <v>239</v>
      </c>
      <c r="AS26" s="128"/>
      <c r="AT26" s="127" t="s">
        <v>13</v>
      </c>
      <c r="AU26" s="128"/>
      <c r="AV26" s="127" t="s">
        <v>14</v>
      </c>
      <c r="AW26" s="128"/>
      <c r="AX26" s="127" t="s">
        <v>15</v>
      </c>
      <c r="AY26" s="128"/>
      <c r="AZ26" s="127" t="s">
        <v>16</v>
      </c>
      <c r="BA26" s="128"/>
      <c r="BB26" s="127" t="s">
        <v>17</v>
      </c>
      <c r="BC26" s="128"/>
      <c r="BD26" s="127" t="s">
        <v>237</v>
      </c>
      <c r="BE26" s="128"/>
      <c r="BF26" s="127" t="s">
        <v>238</v>
      </c>
      <c r="BG26" s="128"/>
      <c r="BH26" s="127" t="s">
        <v>18</v>
      </c>
      <c r="BI26" s="128"/>
      <c r="BJ26" s="127" t="s">
        <v>19</v>
      </c>
      <c r="BK26" s="128"/>
      <c r="BL26" s="129" t="s">
        <v>20</v>
      </c>
      <c r="BM26" s="130"/>
    </row>
    <row r="27" spans="1:65" ht="30" x14ac:dyDescent="0.25">
      <c r="A27" s="3"/>
      <c r="B27" s="32" t="s">
        <v>299</v>
      </c>
      <c r="C27" s="33" t="s">
        <v>298</v>
      </c>
      <c r="D27" s="32" t="s">
        <v>299</v>
      </c>
      <c r="E27" s="33" t="s">
        <v>298</v>
      </c>
      <c r="F27" s="32" t="s">
        <v>299</v>
      </c>
      <c r="G27" s="33" t="s">
        <v>298</v>
      </c>
      <c r="H27" s="32" t="s">
        <v>299</v>
      </c>
      <c r="I27" s="33" t="s">
        <v>298</v>
      </c>
      <c r="J27" s="32" t="s">
        <v>299</v>
      </c>
      <c r="K27" s="33" t="s">
        <v>298</v>
      </c>
      <c r="L27" s="32" t="s">
        <v>299</v>
      </c>
      <c r="M27" s="33" t="s">
        <v>298</v>
      </c>
      <c r="N27" s="32" t="s">
        <v>299</v>
      </c>
      <c r="O27" s="33" t="s">
        <v>298</v>
      </c>
      <c r="P27" s="32" t="s">
        <v>299</v>
      </c>
      <c r="Q27" s="33" t="s">
        <v>298</v>
      </c>
      <c r="R27" s="32" t="s">
        <v>299</v>
      </c>
      <c r="S27" s="33" t="s">
        <v>298</v>
      </c>
      <c r="T27" s="32" t="s">
        <v>299</v>
      </c>
      <c r="U27" s="33" t="s">
        <v>298</v>
      </c>
      <c r="V27" s="32" t="s">
        <v>299</v>
      </c>
      <c r="W27" s="33" t="s">
        <v>298</v>
      </c>
      <c r="X27" s="32" t="s">
        <v>299</v>
      </c>
      <c r="Y27" s="33" t="s">
        <v>298</v>
      </c>
      <c r="Z27" s="32" t="s">
        <v>299</v>
      </c>
      <c r="AA27" s="33" t="s">
        <v>298</v>
      </c>
      <c r="AB27" s="32" t="s">
        <v>299</v>
      </c>
      <c r="AC27" s="33" t="s">
        <v>298</v>
      </c>
      <c r="AD27" s="32" t="s">
        <v>299</v>
      </c>
      <c r="AE27" s="33" t="s">
        <v>298</v>
      </c>
      <c r="AF27" s="32" t="s">
        <v>299</v>
      </c>
      <c r="AG27" s="33" t="s">
        <v>298</v>
      </c>
      <c r="AH27" s="32" t="s">
        <v>299</v>
      </c>
      <c r="AI27" s="33" t="s">
        <v>298</v>
      </c>
      <c r="AJ27" s="32" t="s">
        <v>299</v>
      </c>
      <c r="AK27" s="33" t="s">
        <v>298</v>
      </c>
      <c r="AL27" s="32" t="s">
        <v>299</v>
      </c>
      <c r="AM27" s="33" t="s">
        <v>298</v>
      </c>
      <c r="AN27" s="32" t="s">
        <v>299</v>
      </c>
      <c r="AO27" s="33" t="s">
        <v>298</v>
      </c>
      <c r="AP27" s="32" t="s">
        <v>299</v>
      </c>
      <c r="AQ27" s="33" t="s">
        <v>298</v>
      </c>
      <c r="AR27" s="32" t="s">
        <v>299</v>
      </c>
      <c r="AS27" s="33" t="s">
        <v>298</v>
      </c>
      <c r="AT27" s="32" t="s">
        <v>299</v>
      </c>
      <c r="AU27" s="33" t="s">
        <v>298</v>
      </c>
      <c r="AV27" s="32" t="s">
        <v>299</v>
      </c>
      <c r="AW27" s="33" t="s">
        <v>298</v>
      </c>
      <c r="AX27" s="32" t="s">
        <v>299</v>
      </c>
      <c r="AY27" s="33" t="s">
        <v>298</v>
      </c>
      <c r="AZ27" s="32" t="s">
        <v>299</v>
      </c>
      <c r="BA27" s="33" t="s">
        <v>298</v>
      </c>
      <c r="BB27" s="32" t="s">
        <v>299</v>
      </c>
      <c r="BC27" s="33" t="s">
        <v>298</v>
      </c>
      <c r="BD27" s="32" t="s">
        <v>299</v>
      </c>
      <c r="BE27" s="33" t="s">
        <v>298</v>
      </c>
      <c r="BF27" s="32" t="s">
        <v>299</v>
      </c>
      <c r="BG27" s="33" t="s">
        <v>298</v>
      </c>
      <c r="BH27" s="32" t="s">
        <v>299</v>
      </c>
      <c r="BI27" s="33" t="s">
        <v>298</v>
      </c>
      <c r="BJ27" s="32" t="s">
        <v>299</v>
      </c>
      <c r="BK27" s="33" t="s">
        <v>298</v>
      </c>
      <c r="BL27" s="32" t="s">
        <v>299</v>
      </c>
      <c r="BM27" s="33" t="s">
        <v>298</v>
      </c>
    </row>
    <row r="28" spans="1:65" x14ac:dyDescent="0.25">
      <c r="A28" s="9" t="s">
        <v>280</v>
      </c>
      <c r="B28" s="9">
        <v>185</v>
      </c>
      <c r="C28" s="9">
        <v>396</v>
      </c>
      <c r="D28" s="9"/>
      <c r="E28" s="9"/>
      <c r="F28" s="9"/>
      <c r="G28" s="9"/>
      <c r="H28" s="9">
        <v>9355</v>
      </c>
      <c r="I28" s="9">
        <v>26273</v>
      </c>
      <c r="J28" s="9"/>
      <c r="K28" s="9"/>
      <c r="L28" s="9">
        <v>8579</v>
      </c>
      <c r="M28" s="9">
        <v>23190</v>
      </c>
      <c r="N28" s="9">
        <v>5411</v>
      </c>
      <c r="O28" s="9">
        <v>13281</v>
      </c>
      <c r="P28" s="9"/>
      <c r="Q28" s="9"/>
      <c r="R28" s="9">
        <v>603.62</v>
      </c>
      <c r="S28" s="9">
        <v>1445.01</v>
      </c>
      <c r="T28" s="9">
        <v>2700.01</v>
      </c>
      <c r="U28" s="9">
        <v>8210.49</v>
      </c>
      <c r="V28" s="9">
        <v>10197</v>
      </c>
      <c r="W28" s="9">
        <v>24341</v>
      </c>
      <c r="X28" s="9">
        <v>18311</v>
      </c>
      <c r="Y28" s="9">
        <v>43446</v>
      </c>
      <c r="Z28" s="9">
        <v>10899</v>
      </c>
      <c r="AA28" s="9">
        <v>25984</v>
      </c>
      <c r="AB28" s="9">
        <v>867</v>
      </c>
      <c r="AC28" s="9">
        <v>2452</v>
      </c>
      <c r="AD28" s="9">
        <v>3438</v>
      </c>
      <c r="AE28" s="9">
        <v>8149</v>
      </c>
      <c r="AF28" s="47">
        <v>3053</v>
      </c>
      <c r="AG28" s="9">
        <v>8052</v>
      </c>
      <c r="AH28" s="9"/>
      <c r="AI28" s="9"/>
      <c r="AJ28" s="9"/>
      <c r="AK28" s="9"/>
      <c r="AL28" s="9">
        <v>1</v>
      </c>
      <c r="AM28" s="9">
        <v>63</v>
      </c>
      <c r="AN28" s="9"/>
      <c r="AO28" s="9"/>
      <c r="AP28" s="9">
        <v>750</v>
      </c>
      <c r="AQ28" s="9">
        <v>3268</v>
      </c>
      <c r="AR28" s="9">
        <v>7958</v>
      </c>
      <c r="AS28" s="9">
        <v>19874</v>
      </c>
      <c r="AT28" s="9">
        <v>5279</v>
      </c>
      <c r="AU28" s="9">
        <v>12809</v>
      </c>
      <c r="AV28" s="9">
        <v>3889</v>
      </c>
      <c r="AW28" s="9">
        <v>12219</v>
      </c>
      <c r="AX28" s="9">
        <v>2419</v>
      </c>
      <c r="AY28" s="9">
        <v>6492</v>
      </c>
      <c r="AZ28" s="9"/>
      <c r="BA28" s="9"/>
      <c r="BB28" s="9">
        <v>9701</v>
      </c>
      <c r="BC28" s="9">
        <v>23636</v>
      </c>
      <c r="BD28" s="9"/>
      <c r="BE28" s="9"/>
      <c r="BF28" s="9">
        <v>5378</v>
      </c>
      <c r="BG28" s="9">
        <v>13710</v>
      </c>
      <c r="BH28" s="9"/>
      <c r="BI28" s="9"/>
      <c r="BJ28" s="9">
        <v>3661</v>
      </c>
      <c r="BK28" s="9">
        <v>12266</v>
      </c>
      <c r="BL28" s="46">
        <f t="shared" ref="BL28:BL34" si="4">SUM(B28+D28+F28+H28+J28+L28+N28+P28+R28+T28+V28+X28+Z28+AB28+AD28+AF28+AH28+AJ28+AL28+AN50+AP28+AR28+AT28+AV28+AX28+AZ28+BB28+BD28+BF28+BH28+BJ28)</f>
        <v>112922.63</v>
      </c>
      <c r="BM28" s="46" t="e">
        <f>SUM(C28+E28+G28+I28+K28+M28+O28+Q38+S28+U28+W28+Y28+AA28+AC28+AE28+AG28+AI28+AK28+AM28+AO28+AQ38+AS28+AU28+AW28+AY28+BA28+BC28+BE28+BG28+BI28+BK28)</f>
        <v>#VALUE!</v>
      </c>
    </row>
    <row r="29" spans="1:65" x14ac:dyDescent="0.25">
      <c r="A29" s="9" t="s">
        <v>281</v>
      </c>
      <c r="B29" s="9">
        <v>12</v>
      </c>
      <c r="C29" s="9">
        <v>30</v>
      </c>
      <c r="D29" s="9"/>
      <c r="E29" s="9"/>
      <c r="F29" s="9"/>
      <c r="G29" s="9"/>
      <c r="H29" s="9">
        <v>2432</v>
      </c>
      <c r="I29" s="9">
        <v>3425</v>
      </c>
      <c r="J29" s="9"/>
      <c r="K29" s="9"/>
      <c r="L29" s="9">
        <v>1173</v>
      </c>
      <c r="M29" s="9">
        <v>1264</v>
      </c>
      <c r="N29" s="9">
        <v>1507</v>
      </c>
      <c r="O29" s="9">
        <v>3691</v>
      </c>
      <c r="P29" s="9"/>
      <c r="Q29" s="9"/>
      <c r="R29" s="9">
        <v>160.08000000000001</v>
      </c>
      <c r="S29" s="9">
        <v>368.84</v>
      </c>
      <c r="T29" s="9">
        <v>393.49</v>
      </c>
      <c r="U29" s="9">
        <v>1114.44</v>
      </c>
      <c r="V29" s="9">
        <v>2473</v>
      </c>
      <c r="W29" s="9">
        <v>5885</v>
      </c>
      <c r="X29" s="9">
        <v>4580</v>
      </c>
      <c r="Y29" s="9">
        <v>10859</v>
      </c>
      <c r="Z29" s="9">
        <v>1049</v>
      </c>
      <c r="AA29" s="9">
        <v>2249</v>
      </c>
      <c r="AB29" s="9">
        <v>223</v>
      </c>
      <c r="AC29" s="9">
        <v>640</v>
      </c>
      <c r="AD29" s="9">
        <v>904</v>
      </c>
      <c r="AE29" s="9">
        <v>2282</v>
      </c>
      <c r="AF29" s="47">
        <v>891</v>
      </c>
      <c r="AG29" s="9">
        <v>2348</v>
      </c>
      <c r="AH29" s="9"/>
      <c r="AI29" s="9"/>
      <c r="AJ29" s="9"/>
      <c r="AK29" s="9"/>
      <c r="AL29" s="9"/>
      <c r="AM29" s="9">
        <v>11</v>
      </c>
      <c r="AN29" s="9"/>
      <c r="AO29" s="9"/>
      <c r="AP29" s="9">
        <v>29</v>
      </c>
      <c r="AQ29" s="9">
        <v>104</v>
      </c>
      <c r="AR29" s="9">
        <v>3573</v>
      </c>
      <c r="AS29" s="9">
        <v>3881</v>
      </c>
      <c r="AT29" s="9">
        <v>1553</v>
      </c>
      <c r="AU29" s="9">
        <v>3232</v>
      </c>
      <c r="AV29" s="9">
        <v>1084</v>
      </c>
      <c r="AW29" s="9">
        <v>3483</v>
      </c>
      <c r="AX29" s="9">
        <v>330</v>
      </c>
      <c r="AY29" s="9">
        <v>964</v>
      </c>
      <c r="AZ29" s="9"/>
      <c r="BA29" s="9"/>
      <c r="BB29" s="9">
        <v>4104</v>
      </c>
      <c r="BC29" s="9">
        <v>9275</v>
      </c>
      <c r="BD29" s="9"/>
      <c r="BE29" s="9"/>
      <c r="BF29" s="9">
        <v>2669</v>
      </c>
      <c r="BG29" s="9">
        <v>5917</v>
      </c>
      <c r="BH29" s="9"/>
      <c r="BI29" s="9"/>
      <c r="BJ29" s="9">
        <v>985</v>
      </c>
      <c r="BK29" s="9">
        <v>3284</v>
      </c>
      <c r="BL29" s="46">
        <f t="shared" si="4"/>
        <v>30124.57</v>
      </c>
      <c r="BM29" s="46">
        <f>SUM(C29+E29+G29+I29+K29+M29+O29+Q39+S29+U29+W29+Y29+AA29+AC29+AE29+AG29+AI29+AK29+AM29+AO29+AQ39+AS29+AU29+AW29+AY29+BA29+BC29+BE29+BG29+BI29+BK29)</f>
        <v>64275.28</v>
      </c>
    </row>
    <row r="30" spans="1:65" x14ac:dyDescent="0.25">
      <c r="A30" s="9" t="s">
        <v>282</v>
      </c>
      <c r="B30" s="9"/>
      <c r="C30" s="9"/>
      <c r="D30" s="9"/>
      <c r="E30" s="9"/>
      <c r="F30" s="9"/>
      <c r="G30" s="9"/>
      <c r="H30" s="9">
        <v>527</v>
      </c>
      <c r="I30" s="9">
        <v>1250</v>
      </c>
      <c r="J30" s="9"/>
      <c r="K30" s="9"/>
      <c r="L30" s="9">
        <v>32</v>
      </c>
      <c r="M30" s="9">
        <v>97</v>
      </c>
      <c r="N30" s="9">
        <v>188</v>
      </c>
      <c r="O30" s="9">
        <v>480</v>
      </c>
      <c r="P30" s="9"/>
      <c r="Q30" s="9"/>
      <c r="R30" s="9"/>
      <c r="S30" s="9"/>
      <c r="T30" s="9">
        <v>97.2</v>
      </c>
      <c r="U30" s="9">
        <v>287.45999999999998</v>
      </c>
      <c r="V30" s="9">
        <v>262</v>
      </c>
      <c r="W30" s="9">
        <v>1103</v>
      </c>
      <c r="X30" s="9">
        <v>1711</v>
      </c>
      <c r="Y30" s="9">
        <v>4289</v>
      </c>
      <c r="Z30" s="9">
        <v>343</v>
      </c>
      <c r="AA30" s="9">
        <v>867</v>
      </c>
      <c r="AB30" s="9"/>
      <c r="AC30" s="9"/>
      <c r="AD30" s="9">
        <v>-192</v>
      </c>
      <c r="AE30" s="9"/>
      <c r="AF30" s="47">
        <v>38</v>
      </c>
      <c r="AG30" s="9">
        <v>107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>
        <v>-1768</v>
      </c>
      <c r="AS30" s="9">
        <v>588</v>
      </c>
      <c r="AT30" s="9">
        <v>38</v>
      </c>
      <c r="AU30" s="9">
        <v>121</v>
      </c>
      <c r="AV30" s="9">
        <v>0</v>
      </c>
      <c r="AW30" s="9">
        <v>1</v>
      </c>
      <c r="AX30" s="9">
        <v>28</v>
      </c>
      <c r="AY30" s="9">
        <v>73</v>
      </c>
      <c r="AZ30" s="9"/>
      <c r="BA30" s="9"/>
      <c r="BB30" s="9">
        <v>3147</v>
      </c>
      <c r="BC30" s="9">
        <v>8680</v>
      </c>
      <c r="BD30" s="9"/>
      <c r="BE30" s="9"/>
      <c r="BF30" s="9">
        <v>1243</v>
      </c>
      <c r="BG30" s="9">
        <v>2877</v>
      </c>
      <c r="BH30" s="9"/>
      <c r="BI30" s="9"/>
      <c r="BJ30" s="9"/>
      <c r="BK30" s="9"/>
      <c r="BL30" s="46">
        <f t="shared" si="4"/>
        <v>5694.2</v>
      </c>
      <c r="BM30" s="46">
        <f t="shared" ref="BM30:BM34" si="5">SUM(C30+E30+G30+I30+K30+M30+O30+Q30+S30+U30+W30+Y30+AA30+AC30+AE30+AG30+AI30+AK30+AM30+AO30+AQ30+AS30+AU30+AW30+AY30+BA30+BC30+BE30+BG30+BI30+BK30)</f>
        <v>20820.46</v>
      </c>
    </row>
    <row r="31" spans="1:65" s="7" customFormat="1" x14ac:dyDescent="0.25">
      <c r="A31" s="10" t="s">
        <v>283</v>
      </c>
      <c r="B31" s="10">
        <v>197</v>
      </c>
      <c r="C31" s="10">
        <v>426</v>
      </c>
      <c r="D31" s="10"/>
      <c r="E31" s="10"/>
      <c r="F31" s="10"/>
      <c r="G31" s="10"/>
      <c r="H31" s="10">
        <v>12314</v>
      </c>
      <c r="I31" s="10">
        <v>30949</v>
      </c>
      <c r="J31" s="10"/>
      <c r="K31" s="10"/>
      <c r="L31" s="10">
        <v>9784</v>
      </c>
      <c r="M31" s="10">
        <v>24551</v>
      </c>
      <c r="N31" s="10">
        <v>7106</v>
      </c>
      <c r="O31" s="10">
        <v>17452</v>
      </c>
      <c r="P31" s="10"/>
      <c r="Q31" s="10"/>
      <c r="R31" s="10">
        <v>763.7</v>
      </c>
      <c r="S31" s="10">
        <v>1813.85</v>
      </c>
      <c r="T31" s="10">
        <v>3190.7</v>
      </c>
      <c r="U31" s="10">
        <v>9612.4</v>
      </c>
      <c r="V31" s="10">
        <v>12932</v>
      </c>
      <c r="W31" s="10">
        <v>31328</v>
      </c>
      <c r="X31" s="10">
        <v>24602</v>
      </c>
      <c r="Y31" s="10">
        <v>58594</v>
      </c>
      <c r="Z31" s="10">
        <v>12291</v>
      </c>
      <c r="AA31" s="10">
        <v>29100</v>
      </c>
      <c r="AB31" s="10">
        <v>1090</v>
      </c>
      <c r="AC31" s="10">
        <v>3093</v>
      </c>
      <c r="AD31" s="10">
        <v>4150</v>
      </c>
      <c r="AE31" s="10">
        <v>10431</v>
      </c>
      <c r="AF31" s="10">
        <v>3983</v>
      </c>
      <c r="AG31" s="10">
        <v>10507</v>
      </c>
      <c r="AH31" s="10"/>
      <c r="AI31" s="10"/>
      <c r="AJ31" s="10">
        <v>11316</v>
      </c>
      <c r="AK31" s="10">
        <v>28286</v>
      </c>
      <c r="AL31" s="10">
        <v>1</v>
      </c>
      <c r="AM31" s="10">
        <v>74</v>
      </c>
      <c r="AN31" s="10"/>
      <c r="AO31" s="10"/>
      <c r="AP31" s="10">
        <v>779</v>
      </c>
      <c r="AQ31" s="10">
        <v>3372</v>
      </c>
      <c r="AR31" s="10">
        <v>9764</v>
      </c>
      <c r="AS31" s="10">
        <v>24343</v>
      </c>
      <c r="AT31" s="10">
        <v>6869</v>
      </c>
      <c r="AU31" s="10">
        <v>16163</v>
      </c>
      <c r="AV31" s="10">
        <v>4974</v>
      </c>
      <c r="AW31" s="10">
        <v>15703</v>
      </c>
      <c r="AX31" s="10">
        <v>2777</v>
      </c>
      <c r="AY31" s="10">
        <v>7530</v>
      </c>
      <c r="AZ31" s="10"/>
      <c r="BA31" s="10"/>
      <c r="BB31" s="10">
        <v>16952</v>
      </c>
      <c r="BC31" s="10">
        <v>41591</v>
      </c>
      <c r="BD31" s="10">
        <v>28422</v>
      </c>
      <c r="BE31" s="10">
        <v>72915</v>
      </c>
      <c r="BF31" s="10">
        <v>9290</v>
      </c>
      <c r="BG31" s="10">
        <v>22504</v>
      </c>
      <c r="BH31" s="10">
        <v>13572</v>
      </c>
      <c r="BI31" s="10">
        <v>37194</v>
      </c>
      <c r="BJ31" s="10">
        <v>4646</v>
      </c>
      <c r="BK31" s="10">
        <v>15550</v>
      </c>
      <c r="BL31" s="42">
        <f t="shared" si="4"/>
        <v>202053.4</v>
      </c>
      <c r="BM31" s="42">
        <f t="shared" si="5"/>
        <v>513082.25</v>
      </c>
    </row>
    <row r="32" spans="1:65" x14ac:dyDescent="0.25">
      <c r="A32" s="9" t="s">
        <v>284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788</v>
      </c>
      <c r="O32" s="9">
        <v>1641</v>
      </c>
      <c r="P32" s="9"/>
      <c r="Q32" s="9"/>
      <c r="R32" s="9"/>
      <c r="S32" s="9"/>
      <c r="T32" s="9"/>
      <c r="U32" s="9"/>
      <c r="V32" s="9"/>
      <c r="W32" s="9"/>
      <c r="X32" s="9">
        <v>574</v>
      </c>
      <c r="Y32" s="9">
        <v>722</v>
      </c>
      <c r="Z32" s="9"/>
      <c r="AA32" s="9"/>
      <c r="AB32" s="9"/>
      <c r="AC32" s="9"/>
      <c r="AD32" s="9"/>
      <c r="AE32" s="9"/>
      <c r="AF32" s="47"/>
      <c r="AG32" s="9"/>
      <c r="AH32" s="9"/>
      <c r="AI32" s="9"/>
      <c r="AJ32" s="9">
        <v>1</v>
      </c>
      <c r="AK32" s="9">
        <v>2</v>
      </c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>
        <v>4</v>
      </c>
      <c r="BE32" s="9">
        <v>13</v>
      </c>
      <c r="BF32" s="9">
        <v>0</v>
      </c>
      <c r="BG32" s="9">
        <v>22</v>
      </c>
      <c r="BH32" s="9"/>
      <c r="BI32" s="9"/>
      <c r="BJ32" s="9"/>
      <c r="BK32" s="9"/>
      <c r="BL32" s="46">
        <f t="shared" si="4"/>
        <v>1367</v>
      </c>
      <c r="BM32" s="46">
        <f t="shared" si="5"/>
        <v>2400</v>
      </c>
    </row>
    <row r="33" spans="1:65" x14ac:dyDescent="0.25">
      <c r="A33" s="9" t="s">
        <v>285</v>
      </c>
      <c r="B33" s="9">
        <v>485</v>
      </c>
      <c r="C33" s="9">
        <v>1633</v>
      </c>
      <c r="D33" s="9"/>
      <c r="E33" s="9"/>
      <c r="F33" s="9"/>
      <c r="G33" s="9"/>
      <c r="H33" s="9">
        <v>-9683</v>
      </c>
      <c r="I33" s="9">
        <v>-21866</v>
      </c>
      <c r="J33" s="9"/>
      <c r="K33" s="9"/>
      <c r="L33" s="9">
        <v>6748</v>
      </c>
      <c r="M33" s="9">
        <v>15649</v>
      </c>
      <c r="N33" s="9">
        <v>-389</v>
      </c>
      <c r="O33" s="9">
        <v>-968</v>
      </c>
      <c r="P33" s="9"/>
      <c r="Q33" s="9"/>
      <c r="R33" s="9">
        <v>387.02</v>
      </c>
      <c r="S33" s="9">
        <v>1444.63</v>
      </c>
      <c r="T33" s="9">
        <v>146.62</v>
      </c>
      <c r="U33" s="9">
        <v>1352.92</v>
      </c>
      <c r="V33" s="9">
        <v>-8370</v>
      </c>
      <c r="W33" s="9">
        <v>-22526</v>
      </c>
      <c r="X33" s="9">
        <v>1459</v>
      </c>
      <c r="Y33" s="9">
        <v>2948</v>
      </c>
      <c r="Z33" s="9">
        <v>482</v>
      </c>
      <c r="AA33" s="9">
        <v>1161</v>
      </c>
      <c r="AB33" s="9">
        <v>335</v>
      </c>
      <c r="AC33" s="9">
        <v>1467</v>
      </c>
      <c r="AD33" s="9">
        <v>170</v>
      </c>
      <c r="AE33" s="9">
        <v>790</v>
      </c>
      <c r="AF33" s="47">
        <v>-1692</v>
      </c>
      <c r="AG33" s="9">
        <v>-3941</v>
      </c>
      <c r="AH33" s="9"/>
      <c r="AI33" s="9"/>
      <c r="AJ33" s="9">
        <v>536</v>
      </c>
      <c r="AK33" s="9">
        <v>1305</v>
      </c>
      <c r="AL33" s="9">
        <v>-32</v>
      </c>
      <c r="AM33" s="9">
        <v>-12</v>
      </c>
      <c r="AN33" s="9"/>
      <c r="AO33" s="9"/>
      <c r="AP33" s="9">
        <v>101</v>
      </c>
      <c r="AQ33" s="9">
        <v>195</v>
      </c>
      <c r="AR33" s="9">
        <v>8032</v>
      </c>
      <c r="AS33" s="9">
        <v>19266</v>
      </c>
      <c r="AT33" s="9">
        <v>1473</v>
      </c>
      <c r="AU33" s="9">
        <v>5764</v>
      </c>
      <c r="AV33" s="9">
        <v>3311</v>
      </c>
      <c r="AW33" s="9">
        <v>10188</v>
      </c>
      <c r="AX33" s="9">
        <v>156</v>
      </c>
      <c r="AY33" s="9">
        <v>413</v>
      </c>
      <c r="AZ33" s="9"/>
      <c r="BA33" s="9"/>
      <c r="BB33" s="9">
        <v>4667</v>
      </c>
      <c r="BC33" s="9">
        <v>6742</v>
      </c>
      <c r="BD33" s="9">
        <v>860</v>
      </c>
      <c r="BE33" s="9">
        <v>2204</v>
      </c>
      <c r="BF33" s="9">
        <v>386</v>
      </c>
      <c r="BG33" s="9">
        <v>896</v>
      </c>
      <c r="BH33" s="9">
        <v>524</v>
      </c>
      <c r="BI33" s="9">
        <v>1312</v>
      </c>
      <c r="BJ33" s="9">
        <v>6187</v>
      </c>
      <c r="BK33" s="9">
        <v>9455</v>
      </c>
      <c r="BL33" s="46">
        <f t="shared" si="4"/>
        <v>16292.64</v>
      </c>
      <c r="BM33" s="46">
        <f t="shared" si="5"/>
        <v>34872.550000000003</v>
      </c>
    </row>
    <row r="34" spans="1:65" s="7" customFormat="1" x14ac:dyDescent="0.25">
      <c r="A34" s="10" t="s">
        <v>190</v>
      </c>
      <c r="B34" s="10">
        <v>-288</v>
      </c>
      <c r="C34" s="10">
        <v>-1207</v>
      </c>
      <c r="D34" s="10"/>
      <c r="E34" s="10"/>
      <c r="F34" s="10"/>
      <c r="G34" s="10"/>
      <c r="H34" s="10">
        <v>2631</v>
      </c>
      <c r="I34" s="10">
        <v>9083</v>
      </c>
      <c r="J34" s="10"/>
      <c r="K34" s="10"/>
      <c r="L34" s="10">
        <v>3036</v>
      </c>
      <c r="M34" s="10">
        <v>8903</v>
      </c>
      <c r="N34" s="10">
        <v>7505</v>
      </c>
      <c r="O34" s="10">
        <v>18125</v>
      </c>
      <c r="P34" s="10"/>
      <c r="Q34" s="10"/>
      <c r="R34" s="10">
        <v>376.68</v>
      </c>
      <c r="S34" s="10">
        <v>369.22</v>
      </c>
      <c r="T34" s="10">
        <v>3044.09</v>
      </c>
      <c r="U34" s="10">
        <v>8259.48</v>
      </c>
      <c r="V34" s="10">
        <v>4562</v>
      </c>
      <c r="W34" s="10">
        <v>8802</v>
      </c>
      <c r="X34" s="10">
        <v>23717</v>
      </c>
      <c r="Y34" s="10">
        <v>56368</v>
      </c>
      <c r="Z34" s="10">
        <v>11809</v>
      </c>
      <c r="AA34" s="10">
        <v>27939</v>
      </c>
      <c r="AB34" s="10">
        <v>755</v>
      </c>
      <c r="AC34" s="10">
        <v>1625</v>
      </c>
      <c r="AD34" s="10">
        <v>3980</v>
      </c>
      <c r="AE34" s="10">
        <v>9641</v>
      </c>
      <c r="AF34" s="10">
        <v>2291</v>
      </c>
      <c r="AG34" s="10">
        <v>6567</v>
      </c>
      <c r="AH34" s="10"/>
      <c r="AI34" s="10"/>
      <c r="AJ34" s="10">
        <v>10781</v>
      </c>
      <c r="AK34" s="10">
        <v>26983</v>
      </c>
      <c r="AL34" s="10">
        <v>-31</v>
      </c>
      <c r="AM34" s="10">
        <v>62</v>
      </c>
      <c r="AN34" s="10"/>
      <c r="AO34" s="10"/>
      <c r="AP34" s="10">
        <v>678</v>
      </c>
      <c r="AQ34" s="10">
        <v>3176</v>
      </c>
      <c r="AR34" s="10">
        <v>1732</v>
      </c>
      <c r="AS34" s="10">
        <v>5076</v>
      </c>
      <c r="AT34" s="10">
        <v>5396</v>
      </c>
      <c r="AU34" s="10">
        <v>10399</v>
      </c>
      <c r="AV34" s="10">
        <v>1663</v>
      </c>
      <c r="AW34" s="10">
        <v>5515</v>
      </c>
      <c r="AX34" s="10">
        <v>2621</v>
      </c>
      <c r="AY34" s="10">
        <v>7116</v>
      </c>
      <c r="AZ34" s="10"/>
      <c r="BA34" s="10"/>
      <c r="BB34" s="10">
        <v>12285</v>
      </c>
      <c r="BC34" s="10">
        <v>34849</v>
      </c>
      <c r="BD34" s="10">
        <v>27566</v>
      </c>
      <c r="BE34" s="10">
        <v>70724</v>
      </c>
      <c r="BF34" s="10">
        <v>8904</v>
      </c>
      <c r="BG34" s="10">
        <v>21631</v>
      </c>
      <c r="BH34" s="10">
        <v>13048</v>
      </c>
      <c r="BI34" s="10">
        <v>35883</v>
      </c>
      <c r="BJ34" s="10">
        <v>-1541</v>
      </c>
      <c r="BK34" s="10">
        <v>6095</v>
      </c>
      <c r="BL34" s="42">
        <f t="shared" si="4"/>
        <v>146795.77000000002</v>
      </c>
      <c r="BM34" s="42">
        <f t="shared" si="5"/>
        <v>381983.7</v>
      </c>
    </row>
    <row r="36" spans="1:65" x14ac:dyDescent="0.25">
      <c r="A36" s="17" t="s">
        <v>186</v>
      </c>
    </row>
    <row r="37" spans="1:65" x14ac:dyDescent="0.25">
      <c r="A37" s="3" t="s">
        <v>0</v>
      </c>
      <c r="B37" s="127" t="s">
        <v>1</v>
      </c>
      <c r="C37" s="128"/>
      <c r="D37" s="127" t="s">
        <v>232</v>
      </c>
      <c r="E37" s="128"/>
      <c r="F37" s="127" t="s">
        <v>2</v>
      </c>
      <c r="G37" s="128"/>
      <c r="H37" s="127" t="s">
        <v>3</v>
      </c>
      <c r="I37" s="128"/>
      <c r="J37" s="127" t="s">
        <v>241</v>
      </c>
      <c r="K37" s="128"/>
      <c r="L37" s="127" t="s">
        <v>233</v>
      </c>
      <c r="M37" s="128"/>
      <c r="N37" s="127" t="s">
        <v>244</v>
      </c>
      <c r="O37" s="128"/>
      <c r="P37" s="127" t="s">
        <v>5</v>
      </c>
      <c r="Q37" s="128"/>
      <c r="R37" s="127" t="s">
        <v>4</v>
      </c>
      <c r="S37" s="128"/>
      <c r="T37" s="127" t="s">
        <v>6</v>
      </c>
      <c r="U37" s="128"/>
      <c r="V37" s="127" t="s">
        <v>7</v>
      </c>
      <c r="W37" s="128"/>
      <c r="X37" s="127" t="s">
        <v>8</v>
      </c>
      <c r="Y37" s="128"/>
      <c r="Z37" s="127" t="s">
        <v>9</v>
      </c>
      <c r="AA37" s="128"/>
      <c r="AB37" s="127" t="s">
        <v>240</v>
      </c>
      <c r="AC37" s="128"/>
      <c r="AD37" s="127" t="s">
        <v>10</v>
      </c>
      <c r="AE37" s="128"/>
      <c r="AF37" s="127" t="s">
        <v>11</v>
      </c>
      <c r="AG37" s="128"/>
      <c r="AH37" s="127" t="s">
        <v>234</v>
      </c>
      <c r="AI37" s="128"/>
      <c r="AJ37" s="127" t="s">
        <v>12</v>
      </c>
      <c r="AK37" s="128"/>
      <c r="AL37" s="127" t="s">
        <v>235</v>
      </c>
      <c r="AM37" s="128"/>
      <c r="AN37" s="127" t="s">
        <v>293</v>
      </c>
      <c r="AO37" s="128"/>
      <c r="AP37" s="127" t="s">
        <v>236</v>
      </c>
      <c r="AQ37" s="128"/>
      <c r="AR37" s="127" t="s">
        <v>239</v>
      </c>
      <c r="AS37" s="128"/>
      <c r="AT37" s="127" t="s">
        <v>13</v>
      </c>
      <c r="AU37" s="128"/>
      <c r="AV37" s="127" t="s">
        <v>14</v>
      </c>
      <c r="AW37" s="128"/>
      <c r="AX37" s="127" t="s">
        <v>15</v>
      </c>
      <c r="AY37" s="128"/>
      <c r="AZ37" s="127" t="s">
        <v>16</v>
      </c>
      <c r="BA37" s="128"/>
      <c r="BB37" s="127" t="s">
        <v>17</v>
      </c>
      <c r="BC37" s="128"/>
      <c r="BD37" s="127" t="s">
        <v>237</v>
      </c>
      <c r="BE37" s="128"/>
      <c r="BF37" s="127" t="s">
        <v>238</v>
      </c>
      <c r="BG37" s="128"/>
      <c r="BH37" s="127" t="s">
        <v>18</v>
      </c>
      <c r="BI37" s="128"/>
      <c r="BJ37" s="127" t="s">
        <v>19</v>
      </c>
      <c r="BK37" s="128"/>
      <c r="BL37" s="129" t="s">
        <v>20</v>
      </c>
      <c r="BM37" s="130"/>
    </row>
    <row r="38" spans="1:65" ht="30" x14ac:dyDescent="0.25">
      <c r="A38" s="3"/>
      <c r="B38" s="32" t="s">
        <v>299</v>
      </c>
      <c r="C38" s="33" t="s">
        <v>298</v>
      </c>
      <c r="D38" s="32" t="s">
        <v>299</v>
      </c>
      <c r="E38" s="33" t="s">
        <v>298</v>
      </c>
      <c r="F38" s="32" t="s">
        <v>299</v>
      </c>
      <c r="G38" s="33" t="s">
        <v>298</v>
      </c>
      <c r="H38" s="32" t="s">
        <v>299</v>
      </c>
      <c r="I38" s="33" t="s">
        <v>298</v>
      </c>
      <c r="J38" s="32" t="s">
        <v>299</v>
      </c>
      <c r="K38" s="33" t="s">
        <v>298</v>
      </c>
      <c r="L38" s="32" t="s">
        <v>299</v>
      </c>
      <c r="M38" s="33" t="s">
        <v>298</v>
      </c>
      <c r="N38" s="32" t="s">
        <v>299</v>
      </c>
      <c r="O38" s="33" t="s">
        <v>298</v>
      </c>
      <c r="P38" s="32" t="s">
        <v>299</v>
      </c>
      <c r="Q38" s="33" t="s">
        <v>298</v>
      </c>
      <c r="R38" s="32" t="s">
        <v>299</v>
      </c>
      <c r="S38" s="33" t="s">
        <v>298</v>
      </c>
      <c r="T38" s="32" t="s">
        <v>299</v>
      </c>
      <c r="U38" s="33" t="s">
        <v>298</v>
      </c>
      <c r="V38" s="32" t="s">
        <v>299</v>
      </c>
      <c r="W38" s="33" t="s">
        <v>298</v>
      </c>
      <c r="X38" s="32" t="s">
        <v>299</v>
      </c>
      <c r="Y38" s="33" t="s">
        <v>298</v>
      </c>
      <c r="Z38" s="32" t="s">
        <v>299</v>
      </c>
      <c r="AA38" s="33" t="s">
        <v>298</v>
      </c>
      <c r="AB38" s="32" t="s">
        <v>299</v>
      </c>
      <c r="AC38" s="33" t="s">
        <v>298</v>
      </c>
      <c r="AD38" s="32" t="s">
        <v>299</v>
      </c>
      <c r="AE38" s="33" t="s">
        <v>298</v>
      </c>
      <c r="AF38" s="32" t="s">
        <v>299</v>
      </c>
      <c r="AG38" s="33" t="s">
        <v>298</v>
      </c>
      <c r="AH38" s="32" t="s">
        <v>299</v>
      </c>
      <c r="AI38" s="33" t="s">
        <v>298</v>
      </c>
      <c r="AJ38" s="32" t="s">
        <v>299</v>
      </c>
      <c r="AK38" s="33" t="s">
        <v>298</v>
      </c>
      <c r="AL38" s="32" t="s">
        <v>299</v>
      </c>
      <c r="AM38" s="33" t="s">
        <v>298</v>
      </c>
      <c r="AN38" s="32" t="s">
        <v>299</v>
      </c>
      <c r="AO38" s="33" t="s">
        <v>298</v>
      </c>
      <c r="AP38" s="32" t="s">
        <v>299</v>
      </c>
      <c r="AQ38" s="33" t="s">
        <v>298</v>
      </c>
      <c r="AR38" s="32" t="s">
        <v>299</v>
      </c>
      <c r="AS38" s="33" t="s">
        <v>298</v>
      </c>
      <c r="AT38" s="32" t="s">
        <v>299</v>
      </c>
      <c r="AU38" s="33" t="s">
        <v>298</v>
      </c>
      <c r="AV38" s="32" t="s">
        <v>299</v>
      </c>
      <c r="AW38" s="33" t="s">
        <v>298</v>
      </c>
      <c r="AX38" s="32" t="s">
        <v>299</v>
      </c>
      <c r="AY38" s="33" t="s">
        <v>298</v>
      </c>
      <c r="AZ38" s="32" t="s">
        <v>299</v>
      </c>
      <c r="BA38" s="33" t="s">
        <v>298</v>
      </c>
      <c r="BB38" s="32" t="s">
        <v>299</v>
      </c>
      <c r="BC38" s="33" t="s">
        <v>298</v>
      </c>
      <c r="BD38" s="32" t="s">
        <v>299</v>
      </c>
      <c r="BE38" s="33" t="s">
        <v>298</v>
      </c>
      <c r="BF38" s="32" t="s">
        <v>299</v>
      </c>
      <c r="BG38" s="33" t="s">
        <v>298</v>
      </c>
      <c r="BH38" s="32" t="s">
        <v>299</v>
      </c>
      <c r="BI38" s="33" t="s">
        <v>298</v>
      </c>
      <c r="BJ38" s="32" t="s">
        <v>299</v>
      </c>
      <c r="BK38" s="33" t="s">
        <v>298</v>
      </c>
      <c r="BL38" s="32" t="s">
        <v>299</v>
      </c>
      <c r="BM38" s="33" t="s">
        <v>298</v>
      </c>
    </row>
    <row r="39" spans="1:65" x14ac:dyDescent="0.25">
      <c r="A39" s="9" t="s">
        <v>280</v>
      </c>
      <c r="B39" s="9">
        <v>399</v>
      </c>
      <c r="C39" s="9">
        <v>1726</v>
      </c>
      <c r="D39" s="9">
        <v>5415</v>
      </c>
      <c r="E39" s="9">
        <v>16512</v>
      </c>
      <c r="F39" s="9"/>
      <c r="G39" s="9"/>
      <c r="H39" s="9">
        <v>4995</v>
      </c>
      <c r="I39" s="9">
        <v>15239</v>
      </c>
      <c r="J39" s="9">
        <v>13265</v>
      </c>
      <c r="K39" s="9">
        <v>34832</v>
      </c>
      <c r="L39" s="9">
        <v>1836</v>
      </c>
      <c r="M39" s="9">
        <v>4960</v>
      </c>
      <c r="N39" s="9">
        <v>706</v>
      </c>
      <c r="O39" s="9">
        <v>2004</v>
      </c>
      <c r="P39" s="9"/>
      <c r="Q39" s="9"/>
      <c r="R39" s="9">
        <v>246.59</v>
      </c>
      <c r="S39" s="9">
        <v>695.11</v>
      </c>
      <c r="T39" s="9">
        <v>852.6</v>
      </c>
      <c r="U39" s="9">
        <v>2465.44</v>
      </c>
      <c r="V39" s="9">
        <v>13627</v>
      </c>
      <c r="W39" s="9">
        <v>38729</v>
      </c>
      <c r="X39" s="9">
        <v>8424</v>
      </c>
      <c r="Y39" s="9">
        <v>24973</v>
      </c>
      <c r="Z39" s="9">
        <v>1402</v>
      </c>
      <c r="AA39" s="9">
        <v>6334</v>
      </c>
      <c r="AB39" s="9">
        <v>975</v>
      </c>
      <c r="AC39" s="9">
        <v>2293</v>
      </c>
      <c r="AD39" s="9">
        <v>462</v>
      </c>
      <c r="AE39" s="9">
        <v>1696</v>
      </c>
      <c r="AF39" s="47">
        <v>337</v>
      </c>
      <c r="AG39" s="9">
        <v>882</v>
      </c>
      <c r="AH39" s="9">
        <v>2901.52</v>
      </c>
      <c r="AI39" s="9">
        <v>8055.95</v>
      </c>
      <c r="AJ39" s="9"/>
      <c r="AK39" s="9"/>
      <c r="AL39" s="9">
        <v>-4</v>
      </c>
      <c r="AM39" s="9">
        <v>162</v>
      </c>
      <c r="AN39" s="9">
        <v>9826</v>
      </c>
      <c r="AO39" s="9">
        <v>26924</v>
      </c>
      <c r="AP39" s="9">
        <v>32</v>
      </c>
      <c r="AQ39" s="9">
        <v>72</v>
      </c>
      <c r="AR39" s="9">
        <v>2350</v>
      </c>
      <c r="AS39" s="9">
        <v>6979</v>
      </c>
      <c r="AT39" s="9">
        <v>727</v>
      </c>
      <c r="AU39" s="9">
        <v>2630</v>
      </c>
      <c r="AV39" s="9">
        <v>4683</v>
      </c>
      <c r="AW39" s="9">
        <v>14440</v>
      </c>
      <c r="AX39" s="9"/>
      <c r="AY39" s="9"/>
      <c r="AZ39" s="9">
        <v>39409</v>
      </c>
      <c r="BA39" s="9">
        <v>110949</v>
      </c>
      <c r="BB39" s="9">
        <v>4734</v>
      </c>
      <c r="BC39" s="9">
        <v>13528</v>
      </c>
      <c r="BD39" s="9"/>
      <c r="BE39" s="9"/>
      <c r="BF39" s="9">
        <v>7903</v>
      </c>
      <c r="BG39" s="9">
        <v>24000</v>
      </c>
      <c r="BH39" s="9"/>
      <c r="BI39" s="9"/>
      <c r="BJ39" s="9">
        <v>422</v>
      </c>
      <c r="BK39" s="9">
        <v>2186</v>
      </c>
      <c r="BL39" s="46">
        <f t="shared" ref="BL39:BL45" si="6">SUM(B39+D39+F39+H39+J39+L39+N39+P39+R39+T39+V39+X39+Z39+AB39+AD39+AF39+AH39+AJ39+AL39+AN39+AP39+AR39+AT39+AV39+AX39+AZ39+BB39+BD39+BF39+BH39+BJ39)</f>
        <v>125925.70999999999</v>
      </c>
      <c r="BM39" s="46">
        <f t="shared" ref="BM39:BM45" si="7">SUM(C39+E39+G39+I39+K39+M39+O39+Q39+S39+U39+W39+Y39+AA39+AC39+AE39+AG39+AI39+AK39+AM39+AO39+AQ39+AS39+AU39+AW39+AY39+BA39+BC39+BE39+BG39+BI39+BK39)</f>
        <v>363266.5</v>
      </c>
    </row>
    <row r="40" spans="1:65" x14ac:dyDescent="0.25">
      <c r="A40" s="9" t="s">
        <v>281</v>
      </c>
      <c r="B40" s="9">
        <v>39</v>
      </c>
      <c r="C40" s="9">
        <v>333</v>
      </c>
      <c r="D40" s="9">
        <v>1200</v>
      </c>
      <c r="E40" s="9">
        <v>2384</v>
      </c>
      <c r="F40" s="9"/>
      <c r="G40" s="9"/>
      <c r="H40" s="9">
        <v>281</v>
      </c>
      <c r="I40" s="9">
        <v>261</v>
      </c>
      <c r="J40" s="9">
        <v>4558</v>
      </c>
      <c r="K40" s="9">
        <v>12917</v>
      </c>
      <c r="L40" s="9">
        <v>133</v>
      </c>
      <c r="M40" s="9">
        <v>145</v>
      </c>
      <c r="N40" s="9">
        <v>71</v>
      </c>
      <c r="O40" s="9">
        <v>412</v>
      </c>
      <c r="P40" s="9"/>
      <c r="Q40" s="9"/>
      <c r="R40" s="9">
        <v>20.53</v>
      </c>
      <c r="S40" s="9">
        <v>31.64</v>
      </c>
      <c r="T40" s="9">
        <v>22.48</v>
      </c>
      <c r="U40" s="9">
        <v>47.48</v>
      </c>
      <c r="V40" s="9">
        <v>1150</v>
      </c>
      <c r="W40" s="9">
        <v>5062</v>
      </c>
      <c r="X40" s="9">
        <v>740</v>
      </c>
      <c r="Y40" s="9">
        <v>2030</v>
      </c>
      <c r="Z40" s="9">
        <v>422</v>
      </c>
      <c r="AA40" s="9">
        <v>1888</v>
      </c>
      <c r="AB40" s="9">
        <v>19</v>
      </c>
      <c r="AC40" s="9">
        <v>53</v>
      </c>
      <c r="AD40" s="9">
        <v>63</v>
      </c>
      <c r="AE40" s="9">
        <v>491</v>
      </c>
      <c r="AF40" s="47">
        <v>21</v>
      </c>
      <c r="AG40" s="9">
        <v>42</v>
      </c>
      <c r="AH40" s="9">
        <v>665.88</v>
      </c>
      <c r="AI40" s="9">
        <v>1515.63</v>
      </c>
      <c r="AJ40" s="9"/>
      <c r="AK40" s="9"/>
      <c r="AL40" s="9"/>
      <c r="AM40" s="9"/>
      <c r="AN40" s="9">
        <v>1686</v>
      </c>
      <c r="AO40" s="9">
        <v>4722</v>
      </c>
      <c r="AP40" s="9">
        <v>2</v>
      </c>
      <c r="AQ40" s="9">
        <v>5</v>
      </c>
      <c r="AR40" s="9">
        <v>113</v>
      </c>
      <c r="AS40" s="9">
        <v>207</v>
      </c>
      <c r="AT40" s="9">
        <v>95</v>
      </c>
      <c r="AU40" s="9">
        <v>274</v>
      </c>
      <c r="AV40" s="9">
        <v>199</v>
      </c>
      <c r="AW40" s="9">
        <v>837</v>
      </c>
      <c r="AX40" s="9"/>
      <c r="AY40" s="9"/>
      <c r="AZ40" s="9">
        <v>3498</v>
      </c>
      <c r="BA40" s="9">
        <v>8255</v>
      </c>
      <c r="BB40" s="9">
        <v>603</v>
      </c>
      <c r="BC40" s="9">
        <v>1482</v>
      </c>
      <c r="BD40" s="9"/>
      <c r="BE40" s="9"/>
      <c r="BF40" s="9">
        <v>1113</v>
      </c>
      <c r="BG40" s="9">
        <v>2726</v>
      </c>
      <c r="BH40" s="9"/>
      <c r="BI40" s="9"/>
      <c r="BJ40" s="9">
        <v>10</v>
      </c>
      <c r="BK40" s="9">
        <v>26</v>
      </c>
      <c r="BL40" s="46">
        <f t="shared" si="6"/>
        <v>16724.89</v>
      </c>
      <c r="BM40" s="46">
        <f t="shared" si="7"/>
        <v>46146.75</v>
      </c>
    </row>
    <row r="41" spans="1:65" x14ac:dyDescent="0.25">
      <c r="A41" s="9" t="s">
        <v>282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>
        <v>0</v>
      </c>
      <c r="M41" s="9">
        <v>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7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>
        <v>0</v>
      </c>
      <c r="BG41" s="9">
        <v>0</v>
      </c>
      <c r="BH41" s="9"/>
      <c r="BI41" s="9"/>
      <c r="BJ41" s="9"/>
      <c r="BK41" s="9"/>
      <c r="BL41" s="46">
        <f t="shared" si="6"/>
        <v>0</v>
      </c>
      <c r="BM41" s="46">
        <f t="shared" si="7"/>
        <v>0</v>
      </c>
    </row>
    <row r="42" spans="1:65" s="7" customFormat="1" x14ac:dyDescent="0.25">
      <c r="A42" s="10" t="s">
        <v>283</v>
      </c>
      <c r="B42" s="10">
        <v>438</v>
      </c>
      <c r="C42" s="10">
        <v>2059</v>
      </c>
      <c r="D42" s="10">
        <v>6615</v>
      </c>
      <c r="E42" s="10">
        <v>18896</v>
      </c>
      <c r="F42" s="10"/>
      <c r="G42" s="10"/>
      <c r="H42" s="10">
        <v>5276</v>
      </c>
      <c r="I42" s="10">
        <v>15500</v>
      </c>
      <c r="J42" s="10">
        <v>17823</v>
      </c>
      <c r="K42" s="10">
        <v>47749</v>
      </c>
      <c r="L42" s="10">
        <v>1969</v>
      </c>
      <c r="M42" s="10">
        <v>5105</v>
      </c>
      <c r="N42" s="10">
        <v>777</v>
      </c>
      <c r="O42" s="10">
        <v>2416</v>
      </c>
      <c r="P42" s="10"/>
      <c r="Q42" s="10"/>
      <c r="R42" s="10">
        <v>267.12</v>
      </c>
      <c r="S42" s="10">
        <v>726.75</v>
      </c>
      <c r="T42" s="10">
        <v>875.09</v>
      </c>
      <c r="U42" s="10">
        <v>2512.92</v>
      </c>
      <c r="V42" s="10">
        <v>14777</v>
      </c>
      <c r="W42" s="10">
        <v>43791</v>
      </c>
      <c r="X42" s="10">
        <v>9164</v>
      </c>
      <c r="Y42" s="10">
        <v>27003</v>
      </c>
      <c r="Z42" s="10">
        <v>1824</v>
      </c>
      <c r="AA42" s="10">
        <v>8222</v>
      </c>
      <c r="AB42" s="10">
        <v>994</v>
      </c>
      <c r="AC42" s="10">
        <v>2345</v>
      </c>
      <c r="AD42" s="10">
        <v>524</v>
      </c>
      <c r="AE42" s="10">
        <v>2187</v>
      </c>
      <c r="AF42" s="10">
        <v>358</v>
      </c>
      <c r="AG42" s="10">
        <v>924</v>
      </c>
      <c r="AH42" s="10">
        <v>3567.4</v>
      </c>
      <c r="AI42" s="10">
        <v>9571.58</v>
      </c>
      <c r="AJ42" s="10">
        <v>9112</v>
      </c>
      <c r="AK42" s="10">
        <v>25943</v>
      </c>
      <c r="AL42" s="10">
        <v>-4</v>
      </c>
      <c r="AM42" s="10">
        <v>162</v>
      </c>
      <c r="AN42" s="10">
        <v>11512</v>
      </c>
      <c r="AO42" s="10">
        <v>31645</v>
      </c>
      <c r="AP42" s="10">
        <v>34</v>
      </c>
      <c r="AQ42" s="10">
        <v>76</v>
      </c>
      <c r="AR42" s="10">
        <v>2463</v>
      </c>
      <c r="AS42" s="10">
        <v>7185</v>
      </c>
      <c r="AT42" s="10">
        <v>822</v>
      </c>
      <c r="AU42" s="10">
        <v>2904</v>
      </c>
      <c r="AV42" s="10">
        <v>4882</v>
      </c>
      <c r="AW42" s="10">
        <v>15277</v>
      </c>
      <c r="AX42" s="10"/>
      <c r="AY42" s="10">
        <v>1</v>
      </c>
      <c r="AZ42" s="10">
        <v>42907</v>
      </c>
      <c r="BA42" s="10">
        <v>119204</v>
      </c>
      <c r="BB42" s="10">
        <v>5337</v>
      </c>
      <c r="BC42" s="10">
        <v>15010</v>
      </c>
      <c r="BD42" s="10">
        <v>17976</v>
      </c>
      <c r="BE42" s="10">
        <v>59018</v>
      </c>
      <c r="BF42" s="10">
        <v>9016</v>
      </c>
      <c r="BG42" s="10">
        <v>26726</v>
      </c>
      <c r="BH42" s="10">
        <v>5806</v>
      </c>
      <c r="BI42" s="10">
        <v>19940</v>
      </c>
      <c r="BJ42" s="10">
        <v>432</v>
      </c>
      <c r="BK42" s="10">
        <v>2212</v>
      </c>
      <c r="BL42" s="42">
        <f t="shared" si="6"/>
        <v>175543.61</v>
      </c>
      <c r="BM42" s="42">
        <f t="shared" si="7"/>
        <v>514311.25</v>
      </c>
    </row>
    <row r="43" spans="1:65" x14ac:dyDescent="0.25">
      <c r="A43" s="9" t="s">
        <v>284</v>
      </c>
      <c r="B43" s="9"/>
      <c r="C43" s="9"/>
      <c r="D43" s="9"/>
      <c r="E43" s="9"/>
      <c r="F43" s="9"/>
      <c r="G43" s="9"/>
      <c r="H43" s="9"/>
      <c r="I43" s="9"/>
      <c r="J43" s="9">
        <v>-24</v>
      </c>
      <c r="K43" s="9">
        <v>31</v>
      </c>
      <c r="L43" s="9"/>
      <c r="M43" s="9"/>
      <c r="N43" s="9">
        <v>52</v>
      </c>
      <c r="O43" s="9">
        <v>176</v>
      </c>
      <c r="P43" s="9"/>
      <c r="Q43" s="9"/>
      <c r="R43" s="9">
        <v>10.59</v>
      </c>
      <c r="S43" s="9">
        <v>28.81</v>
      </c>
      <c r="T43" s="9"/>
      <c r="U43" s="9"/>
      <c r="V43" s="9"/>
      <c r="W43" s="9"/>
      <c r="X43" s="9">
        <v>1953</v>
      </c>
      <c r="Y43" s="9">
        <v>2872</v>
      </c>
      <c r="Z43" s="9"/>
      <c r="AA43" s="9">
        <v>83</v>
      </c>
      <c r="AB43" s="9"/>
      <c r="AC43" s="9"/>
      <c r="AD43" s="9"/>
      <c r="AE43" s="9"/>
      <c r="AF43" s="47"/>
      <c r="AG43" s="9"/>
      <c r="AH43" s="9"/>
      <c r="AI43" s="9"/>
      <c r="AJ43" s="9">
        <v>45</v>
      </c>
      <c r="AK43" s="9">
        <v>234</v>
      </c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>
        <v>93</v>
      </c>
      <c r="AX43" s="9"/>
      <c r="AY43" s="9"/>
      <c r="AZ43" s="9"/>
      <c r="BA43" s="9"/>
      <c r="BB43" s="9"/>
      <c r="BC43" s="9">
        <v>3</v>
      </c>
      <c r="BD43" s="9">
        <v>493</v>
      </c>
      <c r="BE43" s="9">
        <v>1042</v>
      </c>
      <c r="BF43" s="9">
        <v>0</v>
      </c>
      <c r="BG43" s="9">
        <v>583</v>
      </c>
      <c r="BH43" s="9"/>
      <c r="BI43" s="9"/>
      <c r="BJ43" s="9">
        <v>0</v>
      </c>
      <c r="BK43" s="9">
        <v>211</v>
      </c>
      <c r="BL43" s="46">
        <f t="shared" si="6"/>
        <v>2529.59</v>
      </c>
      <c r="BM43" s="46">
        <f t="shared" si="7"/>
        <v>5356.8099999999995</v>
      </c>
    </row>
    <row r="44" spans="1:65" x14ac:dyDescent="0.25">
      <c r="A44" s="9" t="s">
        <v>285</v>
      </c>
      <c r="B44" s="9">
        <v>58</v>
      </c>
      <c r="C44" s="9">
        <v>199</v>
      </c>
      <c r="D44" s="9">
        <v>3245</v>
      </c>
      <c r="E44" s="9">
        <v>12250</v>
      </c>
      <c r="F44" s="9"/>
      <c r="G44" s="9"/>
      <c r="H44" s="9">
        <v>-3366</v>
      </c>
      <c r="I44" s="9">
        <v>-13247</v>
      </c>
      <c r="J44" s="9">
        <v>6311</v>
      </c>
      <c r="K44" s="9">
        <v>19564</v>
      </c>
      <c r="L44" s="9">
        <v>345</v>
      </c>
      <c r="M44" s="9">
        <v>903</v>
      </c>
      <c r="N44" s="9">
        <v>-80</v>
      </c>
      <c r="O44" s="9">
        <v>-256</v>
      </c>
      <c r="P44" s="9"/>
      <c r="Q44" s="9"/>
      <c r="R44" s="9">
        <v>268.33</v>
      </c>
      <c r="S44" s="9">
        <v>304.68</v>
      </c>
      <c r="T44" s="9">
        <v>1132.48</v>
      </c>
      <c r="U44" s="9">
        <v>2428.9699999999998</v>
      </c>
      <c r="V44" s="9">
        <v>-14036</v>
      </c>
      <c r="W44" s="9">
        <v>-42918</v>
      </c>
      <c r="X44" s="9">
        <v>10275</v>
      </c>
      <c r="Y44" s="9">
        <v>27270</v>
      </c>
      <c r="Z44" s="9">
        <v>139</v>
      </c>
      <c r="AA44" s="9">
        <v>725</v>
      </c>
      <c r="AB44" s="9">
        <v>648</v>
      </c>
      <c r="AC44" s="9">
        <v>1946</v>
      </c>
      <c r="AD44" s="9">
        <v>21</v>
      </c>
      <c r="AE44" s="9">
        <v>105</v>
      </c>
      <c r="AF44" s="47">
        <v>-25</v>
      </c>
      <c r="AG44" s="9">
        <v>-162</v>
      </c>
      <c r="AH44" s="9">
        <v>161.04</v>
      </c>
      <c r="AI44" s="9">
        <v>446.29</v>
      </c>
      <c r="AJ44" s="9">
        <v>1388</v>
      </c>
      <c r="AK44" s="9">
        <v>6396</v>
      </c>
      <c r="AL44" s="9">
        <v>-6</v>
      </c>
      <c r="AM44" s="9">
        <v>1</v>
      </c>
      <c r="AN44" s="9">
        <v>7916</v>
      </c>
      <c r="AO44" s="9">
        <v>22673</v>
      </c>
      <c r="AP44" s="9">
        <v>2</v>
      </c>
      <c r="AQ44" s="9">
        <v>5</v>
      </c>
      <c r="AR44" s="9">
        <v>2667</v>
      </c>
      <c r="AS44" s="9">
        <v>7380</v>
      </c>
      <c r="AT44" s="9">
        <v>344</v>
      </c>
      <c r="AU44" s="9">
        <v>89</v>
      </c>
      <c r="AV44" s="9">
        <v>238</v>
      </c>
      <c r="AW44" s="9">
        <v>1064</v>
      </c>
      <c r="AX44" s="9">
        <v>3</v>
      </c>
      <c r="AY44" s="9">
        <v>4</v>
      </c>
      <c r="AZ44" s="9">
        <v>3090</v>
      </c>
      <c r="BA44" s="9">
        <v>8254</v>
      </c>
      <c r="BB44" s="9">
        <v>2760</v>
      </c>
      <c r="BC44" s="9">
        <v>8390</v>
      </c>
      <c r="BD44" s="9">
        <v>3114</v>
      </c>
      <c r="BE44" s="9">
        <v>9587</v>
      </c>
      <c r="BF44" s="9">
        <v>365</v>
      </c>
      <c r="BG44" s="9">
        <v>2136</v>
      </c>
      <c r="BH44" s="9">
        <v>539</v>
      </c>
      <c r="BI44" s="9">
        <v>2213</v>
      </c>
      <c r="BJ44" s="9">
        <v>22</v>
      </c>
      <c r="BK44" s="9">
        <v>107</v>
      </c>
      <c r="BL44" s="46">
        <f t="shared" si="6"/>
        <v>27538.85</v>
      </c>
      <c r="BM44" s="46">
        <f t="shared" si="7"/>
        <v>77857.94</v>
      </c>
    </row>
    <row r="45" spans="1:65" s="7" customFormat="1" x14ac:dyDescent="0.25">
      <c r="A45" s="10" t="s">
        <v>190</v>
      </c>
      <c r="B45" s="10">
        <v>380</v>
      </c>
      <c r="C45" s="10">
        <v>1860</v>
      </c>
      <c r="D45" s="10">
        <v>3370</v>
      </c>
      <c r="E45" s="10">
        <v>6647</v>
      </c>
      <c r="F45" s="10"/>
      <c r="G45" s="10"/>
      <c r="H45" s="10">
        <v>1910</v>
      </c>
      <c r="I45" s="10">
        <v>2253</v>
      </c>
      <c r="J45" s="10">
        <v>11488</v>
      </c>
      <c r="K45" s="10">
        <v>28216</v>
      </c>
      <c r="L45" s="10">
        <v>1625</v>
      </c>
      <c r="M45" s="10">
        <v>4202</v>
      </c>
      <c r="N45" s="10">
        <v>749</v>
      </c>
      <c r="O45" s="10">
        <v>2336</v>
      </c>
      <c r="P45" s="10"/>
      <c r="Q45" s="10"/>
      <c r="R45" s="10">
        <v>9.3800000000000008</v>
      </c>
      <c r="S45" s="10">
        <v>450.88</v>
      </c>
      <c r="T45" s="10">
        <v>-257.39</v>
      </c>
      <c r="U45" s="10">
        <v>83.95</v>
      </c>
      <c r="V45" s="10">
        <v>742</v>
      </c>
      <c r="W45" s="10">
        <v>873</v>
      </c>
      <c r="X45" s="10">
        <v>842</v>
      </c>
      <c r="Y45" s="10">
        <v>2605</v>
      </c>
      <c r="Z45" s="10">
        <v>1685</v>
      </c>
      <c r="AA45" s="10">
        <v>7580</v>
      </c>
      <c r="AB45" s="10">
        <v>346</v>
      </c>
      <c r="AC45" s="10">
        <v>399</v>
      </c>
      <c r="AD45" s="10">
        <v>504</v>
      </c>
      <c r="AE45" s="10">
        <v>2082</v>
      </c>
      <c r="AF45" s="10">
        <v>333</v>
      </c>
      <c r="AG45" s="10">
        <v>762</v>
      </c>
      <c r="AH45" s="10">
        <v>3406.36</v>
      </c>
      <c r="AI45" s="10">
        <v>9125.2900000000009</v>
      </c>
      <c r="AJ45" s="10">
        <v>7769</v>
      </c>
      <c r="AK45" s="10">
        <v>19782</v>
      </c>
      <c r="AL45" s="10">
        <v>-10</v>
      </c>
      <c r="AM45" s="10">
        <v>163</v>
      </c>
      <c r="AN45" s="10">
        <v>3596</v>
      </c>
      <c r="AO45" s="10">
        <v>8972</v>
      </c>
      <c r="AP45" s="10">
        <v>31</v>
      </c>
      <c r="AQ45" s="10">
        <v>71</v>
      </c>
      <c r="AR45" s="10">
        <v>-205</v>
      </c>
      <c r="AS45" s="10">
        <v>-196</v>
      </c>
      <c r="AT45" s="10">
        <v>479</v>
      </c>
      <c r="AU45" s="10">
        <v>2815</v>
      </c>
      <c r="AV45" s="10">
        <v>4643</v>
      </c>
      <c r="AW45" s="10">
        <v>14305</v>
      </c>
      <c r="AX45" s="10">
        <v>-3</v>
      </c>
      <c r="AY45" s="10">
        <v>-3</v>
      </c>
      <c r="AZ45" s="10">
        <v>39817</v>
      </c>
      <c r="BA45" s="10">
        <v>110950</v>
      </c>
      <c r="BB45" s="10">
        <v>2577</v>
      </c>
      <c r="BC45" s="10">
        <v>6623</v>
      </c>
      <c r="BD45" s="10">
        <v>15356</v>
      </c>
      <c r="BE45" s="10">
        <v>50473</v>
      </c>
      <c r="BF45" s="10">
        <v>8652</v>
      </c>
      <c r="BG45" s="10">
        <v>25173</v>
      </c>
      <c r="BH45" s="10">
        <v>5267</v>
      </c>
      <c r="BI45" s="10">
        <v>17726</v>
      </c>
      <c r="BJ45" s="10">
        <v>410</v>
      </c>
      <c r="BK45" s="10">
        <v>2316</v>
      </c>
      <c r="BL45" s="42">
        <f t="shared" si="6"/>
        <v>115511.35</v>
      </c>
      <c r="BM45" s="42">
        <f t="shared" si="7"/>
        <v>328645.12</v>
      </c>
    </row>
    <row r="47" spans="1:65" x14ac:dyDescent="0.25">
      <c r="A47" s="17" t="s">
        <v>187</v>
      </c>
    </row>
    <row r="48" spans="1:65" x14ac:dyDescent="0.25">
      <c r="A48" s="3" t="s">
        <v>0</v>
      </c>
      <c r="B48" s="127" t="s">
        <v>1</v>
      </c>
      <c r="C48" s="128"/>
      <c r="D48" s="127" t="s">
        <v>232</v>
      </c>
      <c r="E48" s="128"/>
      <c r="F48" s="127" t="s">
        <v>2</v>
      </c>
      <c r="G48" s="128"/>
      <c r="H48" s="127" t="s">
        <v>3</v>
      </c>
      <c r="I48" s="128"/>
      <c r="J48" s="127" t="s">
        <v>241</v>
      </c>
      <c r="K48" s="128"/>
      <c r="L48" s="127" t="s">
        <v>233</v>
      </c>
      <c r="M48" s="128"/>
      <c r="N48" s="127" t="s">
        <v>244</v>
      </c>
      <c r="O48" s="128"/>
      <c r="P48" s="127" t="s">
        <v>5</v>
      </c>
      <c r="Q48" s="128"/>
      <c r="R48" s="127" t="s">
        <v>4</v>
      </c>
      <c r="S48" s="128"/>
      <c r="T48" s="127" t="s">
        <v>6</v>
      </c>
      <c r="U48" s="128"/>
      <c r="V48" s="127" t="s">
        <v>7</v>
      </c>
      <c r="W48" s="128"/>
      <c r="X48" s="127" t="s">
        <v>8</v>
      </c>
      <c r="Y48" s="128"/>
      <c r="Z48" s="127" t="s">
        <v>9</v>
      </c>
      <c r="AA48" s="128"/>
      <c r="AB48" s="127" t="s">
        <v>240</v>
      </c>
      <c r="AC48" s="128"/>
      <c r="AD48" s="127" t="s">
        <v>10</v>
      </c>
      <c r="AE48" s="128"/>
      <c r="AF48" s="127" t="s">
        <v>11</v>
      </c>
      <c r="AG48" s="128"/>
      <c r="AH48" s="127" t="s">
        <v>234</v>
      </c>
      <c r="AI48" s="128"/>
      <c r="AJ48" s="127" t="s">
        <v>12</v>
      </c>
      <c r="AK48" s="128"/>
      <c r="AL48" s="127" t="s">
        <v>235</v>
      </c>
      <c r="AM48" s="128"/>
      <c r="AN48" s="127" t="s">
        <v>293</v>
      </c>
      <c r="AO48" s="128"/>
      <c r="AP48" s="127" t="s">
        <v>236</v>
      </c>
      <c r="AQ48" s="128"/>
      <c r="AR48" s="127" t="s">
        <v>239</v>
      </c>
      <c r="AS48" s="128"/>
      <c r="AT48" s="127" t="s">
        <v>13</v>
      </c>
      <c r="AU48" s="128"/>
      <c r="AV48" s="127" t="s">
        <v>14</v>
      </c>
      <c r="AW48" s="128"/>
      <c r="AX48" s="127" t="s">
        <v>15</v>
      </c>
      <c r="AY48" s="128"/>
      <c r="AZ48" s="127" t="s">
        <v>16</v>
      </c>
      <c r="BA48" s="128"/>
      <c r="BB48" s="127" t="s">
        <v>17</v>
      </c>
      <c r="BC48" s="128"/>
      <c r="BD48" s="127" t="s">
        <v>237</v>
      </c>
      <c r="BE48" s="128"/>
      <c r="BF48" s="127" t="s">
        <v>238</v>
      </c>
      <c r="BG48" s="128"/>
      <c r="BH48" s="127" t="s">
        <v>18</v>
      </c>
      <c r="BI48" s="128"/>
      <c r="BJ48" s="127" t="s">
        <v>19</v>
      </c>
      <c r="BK48" s="128"/>
      <c r="BL48" s="129" t="s">
        <v>20</v>
      </c>
      <c r="BM48" s="130"/>
    </row>
    <row r="49" spans="1:65" ht="30" x14ac:dyDescent="0.25">
      <c r="A49" s="3"/>
      <c r="B49" s="32" t="s">
        <v>299</v>
      </c>
      <c r="C49" s="33" t="s">
        <v>298</v>
      </c>
      <c r="D49" s="32" t="s">
        <v>299</v>
      </c>
      <c r="E49" s="33" t="s">
        <v>298</v>
      </c>
      <c r="F49" s="32" t="s">
        <v>299</v>
      </c>
      <c r="G49" s="33" t="s">
        <v>298</v>
      </c>
      <c r="H49" s="32" t="s">
        <v>299</v>
      </c>
      <c r="I49" s="33" t="s">
        <v>298</v>
      </c>
      <c r="J49" s="32" t="s">
        <v>299</v>
      </c>
      <c r="K49" s="33" t="s">
        <v>298</v>
      </c>
      <c r="L49" s="32" t="s">
        <v>299</v>
      </c>
      <c r="M49" s="33" t="s">
        <v>298</v>
      </c>
      <c r="N49" s="32" t="s">
        <v>299</v>
      </c>
      <c r="O49" s="33" t="s">
        <v>298</v>
      </c>
      <c r="P49" s="32" t="s">
        <v>299</v>
      </c>
      <c r="Q49" s="33" t="s">
        <v>298</v>
      </c>
      <c r="R49" s="32" t="s">
        <v>299</v>
      </c>
      <c r="S49" s="33" t="s">
        <v>298</v>
      </c>
      <c r="T49" s="32" t="s">
        <v>299</v>
      </c>
      <c r="U49" s="33" t="s">
        <v>298</v>
      </c>
      <c r="V49" s="32" t="s">
        <v>299</v>
      </c>
      <c r="W49" s="33" t="s">
        <v>298</v>
      </c>
      <c r="X49" s="32" t="s">
        <v>299</v>
      </c>
      <c r="Y49" s="33" t="s">
        <v>298</v>
      </c>
      <c r="Z49" s="32" t="s">
        <v>299</v>
      </c>
      <c r="AA49" s="33" t="s">
        <v>298</v>
      </c>
      <c r="AB49" s="32" t="s">
        <v>299</v>
      </c>
      <c r="AC49" s="33" t="s">
        <v>298</v>
      </c>
      <c r="AD49" s="32" t="s">
        <v>299</v>
      </c>
      <c r="AE49" s="33" t="s">
        <v>298</v>
      </c>
      <c r="AF49" s="32" t="s">
        <v>299</v>
      </c>
      <c r="AG49" s="33" t="s">
        <v>298</v>
      </c>
      <c r="AH49" s="32" t="s">
        <v>299</v>
      </c>
      <c r="AI49" s="33" t="s">
        <v>298</v>
      </c>
      <c r="AJ49" s="32" t="s">
        <v>299</v>
      </c>
      <c r="AK49" s="33" t="s">
        <v>298</v>
      </c>
      <c r="AL49" s="32" t="s">
        <v>299</v>
      </c>
      <c r="AM49" s="33" t="s">
        <v>298</v>
      </c>
      <c r="AN49" s="32" t="s">
        <v>299</v>
      </c>
      <c r="AO49" s="33" t="s">
        <v>298</v>
      </c>
      <c r="AP49" s="32" t="s">
        <v>299</v>
      </c>
      <c r="AQ49" s="33" t="s">
        <v>298</v>
      </c>
      <c r="AR49" s="32" t="s">
        <v>299</v>
      </c>
      <c r="AS49" s="33" t="s">
        <v>298</v>
      </c>
      <c r="AT49" s="32" t="s">
        <v>299</v>
      </c>
      <c r="AU49" s="33" t="s">
        <v>298</v>
      </c>
      <c r="AV49" s="32" t="s">
        <v>299</v>
      </c>
      <c r="AW49" s="33" t="s">
        <v>298</v>
      </c>
      <c r="AX49" s="32" t="s">
        <v>299</v>
      </c>
      <c r="AY49" s="33" t="s">
        <v>298</v>
      </c>
      <c r="AZ49" s="32" t="s">
        <v>299</v>
      </c>
      <c r="BA49" s="33" t="s">
        <v>298</v>
      </c>
      <c r="BB49" s="32" t="s">
        <v>299</v>
      </c>
      <c r="BC49" s="33" t="s">
        <v>298</v>
      </c>
      <c r="BD49" s="32" t="s">
        <v>299</v>
      </c>
      <c r="BE49" s="33" t="s">
        <v>298</v>
      </c>
      <c r="BF49" s="32" t="s">
        <v>299</v>
      </c>
      <c r="BG49" s="33" t="s">
        <v>298</v>
      </c>
      <c r="BH49" s="32" t="s">
        <v>299</v>
      </c>
      <c r="BI49" s="33" t="s">
        <v>298</v>
      </c>
      <c r="BJ49" s="32" t="s">
        <v>299</v>
      </c>
      <c r="BK49" s="33" t="s">
        <v>298</v>
      </c>
      <c r="BL49" s="32" t="s">
        <v>299</v>
      </c>
      <c r="BM49" s="33" t="s">
        <v>298</v>
      </c>
    </row>
    <row r="50" spans="1:65" x14ac:dyDescent="0.25">
      <c r="A50" s="9" t="s">
        <v>280</v>
      </c>
      <c r="B50" s="9">
        <v>5</v>
      </c>
      <c r="C50" s="9">
        <v>22</v>
      </c>
      <c r="D50" s="9">
        <v>550</v>
      </c>
      <c r="E50" s="9">
        <v>1389</v>
      </c>
      <c r="F50" s="9"/>
      <c r="G50" s="9"/>
      <c r="H50" s="9">
        <v>773</v>
      </c>
      <c r="I50" s="9">
        <v>2193</v>
      </c>
      <c r="J50" s="9">
        <v>1282</v>
      </c>
      <c r="K50" s="9">
        <v>3371</v>
      </c>
      <c r="L50" s="9">
        <v>1190</v>
      </c>
      <c r="M50" s="9">
        <v>3396</v>
      </c>
      <c r="N50" s="9">
        <v>66</v>
      </c>
      <c r="O50" s="9">
        <v>268</v>
      </c>
      <c r="P50" s="9"/>
      <c r="Q50" s="9"/>
      <c r="R50" s="9">
        <v>23.32</v>
      </c>
      <c r="S50" s="9">
        <v>70.73</v>
      </c>
      <c r="T50" s="9">
        <v>210.13</v>
      </c>
      <c r="U50" s="9">
        <v>683.09</v>
      </c>
      <c r="V50" s="9">
        <v>1752</v>
      </c>
      <c r="W50" s="9">
        <v>5822</v>
      </c>
      <c r="X50" s="9">
        <v>1008</v>
      </c>
      <c r="Y50" s="9">
        <v>2707</v>
      </c>
      <c r="Z50" s="9">
        <v>243</v>
      </c>
      <c r="AA50" s="9">
        <v>898</v>
      </c>
      <c r="AB50" s="9">
        <v>222</v>
      </c>
      <c r="AC50" s="9">
        <v>429</v>
      </c>
      <c r="AD50" s="9">
        <v>38</v>
      </c>
      <c r="AE50" s="9">
        <v>118</v>
      </c>
      <c r="AF50" s="47">
        <v>27</v>
      </c>
      <c r="AG50" s="9">
        <v>50</v>
      </c>
      <c r="AH50" s="9">
        <v>109.65</v>
      </c>
      <c r="AI50" s="9">
        <v>271.52</v>
      </c>
      <c r="AJ50" s="9"/>
      <c r="AK50" s="9"/>
      <c r="AL50" s="9"/>
      <c r="AM50" s="9">
        <v>41</v>
      </c>
      <c r="AN50" s="9">
        <v>288</v>
      </c>
      <c r="AO50" s="9">
        <v>756</v>
      </c>
      <c r="AP50" s="9">
        <v>1</v>
      </c>
      <c r="AQ50" s="9">
        <v>3</v>
      </c>
      <c r="AR50" s="9">
        <v>491</v>
      </c>
      <c r="AS50" s="9">
        <v>1547</v>
      </c>
      <c r="AT50" s="9">
        <v>70</v>
      </c>
      <c r="AU50" s="9">
        <v>312</v>
      </c>
      <c r="AV50" s="9">
        <v>2809</v>
      </c>
      <c r="AW50" s="9">
        <v>7318</v>
      </c>
      <c r="AX50" s="9">
        <v>270</v>
      </c>
      <c r="AY50" s="9">
        <v>496</v>
      </c>
      <c r="AZ50" s="9">
        <v>648</v>
      </c>
      <c r="BA50" s="9">
        <v>1751</v>
      </c>
      <c r="BB50" s="9">
        <v>947</v>
      </c>
      <c r="BC50" s="9">
        <v>2241</v>
      </c>
      <c r="BD50" s="9"/>
      <c r="BE50" s="9"/>
      <c r="BF50" s="9">
        <v>305</v>
      </c>
      <c r="BG50" s="9">
        <v>2328</v>
      </c>
      <c r="BH50" s="9"/>
      <c r="BI50" s="9"/>
      <c r="BJ50" s="9">
        <v>440</v>
      </c>
      <c r="BK50" s="9">
        <v>1155</v>
      </c>
      <c r="BL50" s="46">
        <f t="shared" ref="BL50:BL56" si="8">SUM(B50+D50+F50+H50+J50+L50+N50+P50+R50+T50+V50+X50+Z50+AB50+AD50+AF50+AH50+AJ50+AL50+AN50+AP50+AR50+AT50+AV50+AX50+AZ50+BB50+BD50+BF50+BH50+BJ50)</f>
        <v>13768.099999999999</v>
      </c>
      <c r="BM50" s="46">
        <f t="shared" ref="BM50:BM56" si="9">SUM(C50+E50+G50+I50+K50+M50+O50+Q50+S50+U50+W50+Y50+AA50+AC50+AE50+AG50+AI50+AK50+AM50+AO50+AQ50+AS50+AU50+AW50+AY50+BA50+BC50+BE50+BG50+BI50+BK50)</f>
        <v>39636.339999999997</v>
      </c>
    </row>
    <row r="51" spans="1:65" x14ac:dyDescent="0.25">
      <c r="A51" s="9" t="s">
        <v>281</v>
      </c>
      <c r="B51" s="9">
        <v>1</v>
      </c>
      <c r="C51" s="9">
        <v>4</v>
      </c>
      <c r="D51" s="9">
        <v>72</v>
      </c>
      <c r="E51" s="9">
        <v>141</v>
      </c>
      <c r="F51" s="9"/>
      <c r="G51" s="9"/>
      <c r="H51" s="9">
        <v>34</v>
      </c>
      <c r="I51" s="9">
        <v>48</v>
      </c>
      <c r="J51" s="9">
        <v>264</v>
      </c>
      <c r="K51" s="9">
        <v>632</v>
      </c>
      <c r="L51" s="9">
        <v>138</v>
      </c>
      <c r="M51" s="9">
        <v>151</v>
      </c>
      <c r="N51" s="9">
        <v>9</v>
      </c>
      <c r="O51" s="9">
        <v>32</v>
      </c>
      <c r="P51" s="9"/>
      <c r="Q51" s="9"/>
      <c r="R51" s="9">
        <v>0.37</v>
      </c>
      <c r="S51" s="9">
        <v>4.55</v>
      </c>
      <c r="T51" s="9">
        <v>0.2</v>
      </c>
      <c r="U51" s="9">
        <v>0.31</v>
      </c>
      <c r="V51" s="9">
        <v>218</v>
      </c>
      <c r="W51" s="9">
        <v>639</v>
      </c>
      <c r="X51" s="9">
        <v>42</v>
      </c>
      <c r="Y51" s="9">
        <v>139</v>
      </c>
      <c r="Z51" s="9">
        <v>26</v>
      </c>
      <c r="AA51" s="9">
        <v>101</v>
      </c>
      <c r="AB51" s="9">
        <v>1</v>
      </c>
      <c r="AC51" s="9">
        <v>4</v>
      </c>
      <c r="AD51" s="9">
        <v>3</v>
      </c>
      <c r="AE51" s="9">
        <v>15</v>
      </c>
      <c r="AF51" s="47">
        <v>6</v>
      </c>
      <c r="AG51" s="9">
        <v>12</v>
      </c>
      <c r="AH51" s="9">
        <v>11.63</v>
      </c>
      <c r="AI51" s="9">
        <v>24.65</v>
      </c>
      <c r="AJ51" s="9"/>
      <c r="AK51" s="9"/>
      <c r="AL51" s="9"/>
      <c r="AM51" s="9"/>
      <c r="AN51" s="9"/>
      <c r="AO51" s="9"/>
      <c r="AP51" s="9"/>
      <c r="AQ51" s="9"/>
      <c r="AR51" s="9">
        <v>19</v>
      </c>
      <c r="AS51" s="9">
        <v>49</v>
      </c>
      <c r="AT51" s="9">
        <v>10</v>
      </c>
      <c r="AU51" s="9">
        <v>38</v>
      </c>
      <c r="AV51" s="9">
        <v>1</v>
      </c>
      <c r="AW51" s="9">
        <v>9</v>
      </c>
      <c r="AX51" s="9">
        <v>12</v>
      </c>
      <c r="AY51" s="9">
        <v>20</v>
      </c>
      <c r="AZ51" s="9">
        <v>56</v>
      </c>
      <c r="BA51" s="9">
        <v>128</v>
      </c>
      <c r="BB51" s="9">
        <v>90</v>
      </c>
      <c r="BC51" s="9">
        <v>236</v>
      </c>
      <c r="BD51" s="9"/>
      <c r="BE51" s="9"/>
      <c r="BF51" s="9">
        <v>44</v>
      </c>
      <c r="BG51" s="9">
        <v>178</v>
      </c>
      <c r="BH51" s="9"/>
      <c r="BI51" s="9"/>
      <c r="BJ51" s="9">
        <v>0</v>
      </c>
      <c r="BK51" s="9"/>
      <c r="BL51" s="46">
        <f t="shared" si="8"/>
        <v>1058.2</v>
      </c>
      <c r="BM51" s="46">
        <f t="shared" si="9"/>
        <v>2605.5100000000002</v>
      </c>
    </row>
    <row r="52" spans="1:65" x14ac:dyDescent="0.25">
      <c r="A52" s="9" t="s">
        <v>282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47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>
        <v>0</v>
      </c>
      <c r="BG52" s="9">
        <v>0</v>
      </c>
      <c r="BH52" s="9"/>
      <c r="BI52" s="9"/>
      <c r="BJ52" s="9"/>
      <c r="BK52" s="9"/>
      <c r="BL52" s="46">
        <f t="shared" si="8"/>
        <v>0</v>
      </c>
      <c r="BM52" s="46">
        <f t="shared" si="9"/>
        <v>0</v>
      </c>
    </row>
    <row r="53" spans="1:65" s="7" customFormat="1" x14ac:dyDescent="0.25">
      <c r="A53" s="10" t="s">
        <v>283</v>
      </c>
      <c r="B53" s="10">
        <v>6</v>
      </c>
      <c r="C53" s="10">
        <v>26</v>
      </c>
      <c r="D53" s="10">
        <v>622</v>
      </c>
      <c r="E53" s="10">
        <v>1530</v>
      </c>
      <c r="F53" s="10"/>
      <c r="G53" s="10"/>
      <c r="H53" s="10">
        <v>806</v>
      </c>
      <c r="I53" s="10">
        <v>2240</v>
      </c>
      <c r="J53" s="10">
        <v>1546</v>
      </c>
      <c r="K53" s="10">
        <v>4003</v>
      </c>
      <c r="L53" s="10">
        <v>1328</v>
      </c>
      <c r="M53" s="10">
        <v>3548</v>
      </c>
      <c r="N53" s="10">
        <v>75</v>
      </c>
      <c r="O53" s="10">
        <v>300</v>
      </c>
      <c r="P53" s="10"/>
      <c r="Q53" s="10"/>
      <c r="R53" s="10">
        <v>23.69</v>
      </c>
      <c r="S53" s="10">
        <v>75.28</v>
      </c>
      <c r="T53" s="10">
        <v>210.33</v>
      </c>
      <c r="U53" s="10">
        <v>683.4</v>
      </c>
      <c r="V53" s="10">
        <v>1970</v>
      </c>
      <c r="W53" s="10">
        <v>6461</v>
      </c>
      <c r="X53" s="10">
        <v>1050</v>
      </c>
      <c r="Y53" s="10">
        <v>2846</v>
      </c>
      <c r="Z53" s="10">
        <v>269</v>
      </c>
      <c r="AA53" s="10">
        <v>999</v>
      </c>
      <c r="AB53" s="10">
        <v>222</v>
      </c>
      <c r="AC53" s="10">
        <v>434</v>
      </c>
      <c r="AD53" s="10">
        <v>41</v>
      </c>
      <c r="AE53" s="10">
        <v>132</v>
      </c>
      <c r="AF53" s="10">
        <v>33</v>
      </c>
      <c r="AG53" s="10">
        <v>62</v>
      </c>
      <c r="AH53" s="10">
        <v>121.28</v>
      </c>
      <c r="AI53" s="10">
        <v>296.17</v>
      </c>
      <c r="AJ53" s="10">
        <v>141</v>
      </c>
      <c r="AK53" s="10">
        <v>1931</v>
      </c>
      <c r="AL53" s="10"/>
      <c r="AM53" s="10">
        <v>41</v>
      </c>
      <c r="AN53" s="10">
        <v>288</v>
      </c>
      <c r="AO53" s="10">
        <v>756</v>
      </c>
      <c r="AP53" s="10">
        <v>1</v>
      </c>
      <c r="AQ53" s="10">
        <v>3</v>
      </c>
      <c r="AR53" s="10">
        <v>509</v>
      </c>
      <c r="AS53" s="10">
        <v>1596</v>
      </c>
      <c r="AT53" s="10">
        <v>80</v>
      </c>
      <c r="AU53" s="10">
        <v>350</v>
      </c>
      <c r="AV53" s="10">
        <v>2810</v>
      </c>
      <c r="AW53" s="10">
        <v>7327</v>
      </c>
      <c r="AX53" s="10">
        <v>283</v>
      </c>
      <c r="AY53" s="10">
        <v>516</v>
      </c>
      <c r="AZ53" s="10">
        <v>704</v>
      </c>
      <c r="BA53" s="10">
        <v>1879</v>
      </c>
      <c r="BB53" s="10">
        <v>1037</v>
      </c>
      <c r="BC53" s="10">
        <v>2477</v>
      </c>
      <c r="BD53" s="10">
        <v>779</v>
      </c>
      <c r="BE53" s="10">
        <v>3546</v>
      </c>
      <c r="BF53" s="10">
        <v>349</v>
      </c>
      <c r="BG53" s="10">
        <v>2506</v>
      </c>
      <c r="BH53" s="10">
        <v>599</v>
      </c>
      <c r="BI53" s="10">
        <v>1687</v>
      </c>
      <c r="BJ53" s="10">
        <v>440</v>
      </c>
      <c r="BK53" s="10">
        <v>1155</v>
      </c>
      <c r="BL53" s="42">
        <f t="shared" si="8"/>
        <v>16343.300000000001</v>
      </c>
      <c r="BM53" s="42">
        <f t="shared" si="9"/>
        <v>49405.85</v>
      </c>
    </row>
    <row r="54" spans="1:65" x14ac:dyDescent="0.25">
      <c r="A54" s="9" t="s">
        <v>284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v>-36</v>
      </c>
      <c r="O54" s="9"/>
      <c r="P54" s="9"/>
      <c r="Q54" s="9"/>
      <c r="R54" s="9"/>
      <c r="S54" s="9"/>
      <c r="T54" s="9"/>
      <c r="U54" s="9">
        <v>0.2</v>
      </c>
      <c r="V54" s="9"/>
      <c r="W54" s="9"/>
      <c r="X54" s="9"/>
      <c r="Y54" s="9">
        <v>1</v>
      </c>
      <c r="Z54" s="9"/>
      <c r="AA54" s="9">
        <v>3</v>
      </c>
      <c r="AB54" s="9"/>
      <c r="AC54" s="9"/>
      <c r="AD54" s="9">
        <v>8</v>
      </c>
      <c r="AE54" s="9">
        <v>8</v>
      </c>
      <c r="AF54" s="47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>
        <v>10</v>
      </c>
      <c r="AU54" s="9">
        <v>178</v>
      </c>
      <c r="AV54" s="9"/>
      <c r="AW54" s="9">
        <v>0</v>
      </c>
      <c r="AX54" s="9"/>
      <c r="AY54" s="9"/>
      <c r="AZ54" s="9"/>
      <c r="BA54" s="9"/>
      <c r="BB54" s="9"/>
      <c r="BC54" s="9">
        <v>47</v>
      </c>
      <c r="BD54" s="9">
        <v>28</v>
      </c>
      <c r="BE54" s="9">
        <v>97</v>
      </c>
      <c r="BF54" s="9">
        <v>36</v>
      </c>
      <c r="BG54" s="9">
        <v>36</v>
      </c>
      <c r="BH54" s="9">
        <v>21</v>
      </c>
      <c r="BI54" s="9">
        <v>41</v>
      </c>
      <c r="BJ54" s="9"/>
      <c r="BK54" s="9"/>
      <c r="BL54" s="46">
        <f t="shared" si="8"/>
        <v>67</v>
      </c>
      <c r="BM54" s="46">
        <f t="shared" si="9"/>
        <v>411.2</v>
      </c>
    </row>
    <row r="55" spans="1:65" x14ac:dyDescent="0.25">
      <c r="A55" s="9" t="s">
        <v>285</v>
      </c>
      <c r="B55" s="9">
        <v>1</v>
      </c>
      <c r="C55" s="9">
        <v>2</v>
      </c>
      <c r="D55" s="9">
        <v>19</v>
      </c>
      <c r="E55" s="9">
        <v>137</v>
      </c>
      <c r="F55" s="9"/>
      <c r="G55" s="9"/>
      <c r="H55" s="9">
        <v>-55</v>
      </c>
      <c r="I55" s="9">
        <v>-161</v>
      </c>
      <c r="J55" s="9">
        <v>46</v>
      </c>
      <c r="K55" s="9">
        <v>188</v>
      </c>
      <c r="L55" s="9">
        <v>1679</v>
      </c>
      <c r="M55" s="9">
        <v>3995</v>
      </c>
      <c r="N55" s="9">
        <v>-743</v>
      </c>
      <c r="O55" s="9">
        <v>-889</v>
      </c>
      <c r="P55" s="9"/>
      <c r="Q55" s="9"/>
      <c r="R55" s="9">
        <v>369.94</v>
      </c>
      <c r="S55" s="9">
        <v>603.19000000000005</v>
      </c>
      <c r="T55" s="9">
        <v>73.17</v>
      </c>
      <c r="U55" s="9">
        <v>178.36</v>
      </c>
      <c r="V55" s="9">
        <v>-3410</v>
      </c>
      <c r="W55" s="9">
        <v>-10901</v>
      </c>
      <c r="X55" s="9">
        <v>1421</v>
      </c>
      <c r="Y55" s="9">
        <v>3941</v>
      </c>
      <c r="Z55" s="9">
        <v>19</v>
      </c>
      <c r="AA55" s="9">
        <v>62</v>
      </c>
      <c r="AB55" s="9">
        <v>179</v>
      </c>
      <c r="AC55" s="9">
        <v>431</v>
      </c>
      <c r="AD55" s="9">
        <v>3</v>
      </c>
      <c r="AE55" s="9">
        <v>11</v>
      </c>
      <c r="AF55" s="47">
        <v>-4</v>
      </c>
      <c r="AG55" s="9">
        <v>-7</v>
      </c>
      <c r="AH55" s="9">
        <v>5.28</v>
      </c>
      <c r="AI55" s="9">
        <v>11.74</v>
      </c>
      <c r="AJ55" s="9">
        <v>128</v>
      </c>
      <c r="AK55" s="9">
        <v>348</v>
      </c>
      <c r="AL55" s="9">
        <v>1</v>
      </c>
      <c r="AM55" s="9">
        <v>-74</v>
      </c>
      <c r="AN55" s="9">
        <v>13</v>
      </c>
      <c r="AO55" s="9">
        <v>389</v>
      </c>
      <c r="AP55" s="9">
        <v>2</v>
      </c>
      <c r="AQ55" s="9">
        <v>5</v>
      </c>
      <c r="AR55" s="9">
        <v>1354</v>
      </c>
      <c r="AS55" s="9">
        <v>3896</v>
      </c>
      <c r="AT55" s="9">
        <v>26</v>
      </c>
      <c r="AU55" s="9">
        <v>370</v>
      </c>
      <c r="AV55" s="9">
        <v>1440</v>
      </c>
      <c r="AW55" s="9">
        <v>493</v>
      </c>
      <c r="AX55" s="9">
        <v>63</v>
      </c>
      <c r="AY55" s="9">
        <v>86</v>
      </c>
      <c r="AZ55" s="9">
        <v>253</v>
      </c>
      <c r="BA55" s="9">
        <v>723</v>
      </c>
      <c r="BB55" s="9">
        <v>299</v>
      </c>
      <c r="BC55" s="9">
        <v>624</v>
      </c>
      <c r="BD55" s="9">
        <v>44</v>
      </c>
      <c r="BE55" s="9">
        <v>312</v>
      </c>
      <c r="BF55" s="9">
        <v>192</v>
      </c>
      <c r="BG55" s="9">
        <v>327</v>
      </c>
      <c r="BH55" s="9">
        <v>314</v>
      </c>
      <c r="BI55" s="9">
        <v>899</v>
      </c>
      <c r="BJ55" s="9">
        <v>132</v>
      </c>
      <c r="BK55" s="9">
        <v>2134</v>
      </c>
      <c r="BL55" s="46">
        <f t="shared" si="8"/>
        <v>3864.3900000000003</v>
      </c>
      <c r="BM55" s="46">
        <f t="shared" si="9"/>
        <v>8134.29</v>
      </c>
    </row>
    <row r="56" spans="1:65" s="7" customFormat="1" x14ac:dyDescent="0.25">
      <c r="A56" s="10" t="s">
        <v>190</v>
      </c>
      <c r="B56" s="10">
        <v>5</v>
      </c>
      <c r="C56" s="10">
        <v>24</v>
      </c>
      <c r="D56" s="10">
        <v>603</v>
      </c>
      <c r="E56" s="10">
        <v>1394</v>
      </c>
      <c r="F56" s="10"/>
      <c r="G56" s="10"/>
      <c r="H56" s="10">
        <v>751</v>
      </c>
      <c r="I56" s="10">
        <v>2080</v>
      </c>
      <c r="J56" s="10">
        <v>1500</v>
      </c>
      <c r="K56" s="10">
        <v>3815</v>
      </c>
      <c r="L56" s="10">
        <v>-351</v>
      </c>
      <c r="M56" s="10">
        <v>-448</v>
      </c>
      <c r="N56" s="10">
        <v>-704</v>
      </c>
      <c r="O56" s="10">
        <v>-589</v>
      </c>
      <c r="P56" s="10"/>
      <c r="Q56" s="10"/>
      <c r="R56" s="10">
        <v>-346.25</v>
      </c>
      <c r="S56" s="10">
        <v>-527.91</v>
      </c>
      <c r="T56" s="10">
        <v>137.16</v>
      </c>
      <c r="U56" s="10">
        <v>505.24</v>
      </c>
      <c r="V56" s="10">
        <v>-1440</v>
      </c>
      <c r="W56" s="10">
        <v>-4441</v>
      </c>
      <c r="X56" s="10">
        <v>-371</v>
      </c>
      <c r="Y56" s="10">
        <v>-1094</v>
      </c>
      <c r="Z56" s="10">
        <v>250</v>
      </c>
      <c r="AA56" s="10">
        <v>940</v>
      </c>
      <c r="AB56" s="10">
        <v>43</v>
      </c>
      <c r="AC56" s="10">
        <v>2</v>
      </c>
      <c r="AD56" s="10">
        <v>46</v>
      </c>
      <c r="AE56" s="10">
        <v>129</v>
      </c>
      <c r="AF56" s="10">
        <v>29</v>
      </c>
      <c r="AG56" s="10">
        <v>55</v>
      </c>
      <c r="AH56" s="10">
        <v>116</v>
      </c>
      <c r="AI56" s="10">
        <v>284.43</v>
      </c>
      <c r="AJ56" s="10">
        <v>13</v>
      </c>
      <c r="AK56" s="10">
        <v>1583</v>
      </c>
      <c r="AL56" s="10">
        <v>1</v>
      </c>
      <c r="AM56" s="10">
        <v>-33</v>
      </c>
      <c r="AN56" s="10">
        <v>275</v>
      </c>
      <c r="AO56" s="10">
        <v>367</v>
      </c>
      <c r="AP56" s="10">
        <v>-1</v>
      </c>
      <c r="AQ56" s="10">
        <v>-2</v>
      </c>
      <c r="AR56" s="10">
        <v>-845</v>
      </c>
      <c r="AS56" s="10">
        <v>-2300</v>
      </c>
      <c r="AT56" s="10">
        <v>64</v>
      </c>
      <c r="AU56" s="10">
        <v>159</v>
      </c>
      <c r="AV56" s="10">
        <v>1370</v>
      </c>
      <c r="AW56" s="10">
        <v>6835</v>
      </c>
      <c r="AX56" s="10">
        <v>220</v>
      </c>
      <c r="AY56" s="10">
        <v>430</v>
      </c>
      <c r="AZ56" s="10">
        <v>451</v>
      </c>
      <c r="BA56" s="10">
        <v>1156</v>
      </c>
      <c r="BB56" s="10">
        <v>738</v>
      </c>
      <c r="BC56" s="10">
        <v>1900</v>
      </c>
      <c r="BD56" s="10">
        <v>763</v>
      </c>
      <c r="BE56" s="10">
        <v>3331</v>
      </c>
      <c r="BF56" s="10">
        <v>193</v>
      </c>
      <c r="BG56" s="10">
        <v>2214</v>
      </c>
      <c r="BH56" s="10">
        <v>307</v>
      </c>
      <c r="BI56" s="10">
        <v>829</v>
      </c>
      <c r="BJ56" s="10">
        <v>308</v>
      </c>
      <c r="BK56" s="10">
        <v>-979</v>
      </c>
      <c r="BL56" s="42">
        <f t="shared" si="8"/>
        <v>4124.91</v>
      </c>
      <c r="BM56" s="42">
        <f t="shared" si="9"/>
        <v>17618.760000000002</v>
      </c>
    </row>
    <row r="58" spans="1:65" x14ac:dyDescent="0.25">
      <c r="A58" s="17" t="s">
        <v>297</v>
      </c>
    </row>
    <row r="59" spans="1:65" x14ac:dyDescent="0.25">
      <c r="A59" s="3" t="s">
        <v>0</v>
      </c>
      <c r="B59" s="127" t="s">
        <v>1</v>
      </c>
      <c r="C59" s="128"/>
      <c r="D59" s="127" t="s">
        <v>232</v>
      </c>
      <c r="E59" s="128"/>
      <c r="F59" s="127" t="s">
        <v>2</v>
      </c>
      <c r="G59" s="128"/>
      <c r="H59" s="127" t="s">
        <v>3</v>
      </c>
      <c r="I59" s="128"/>
      <c r="J59" s="127" t="s">
        <v>241</v>
      </c>
      <c r="K59" s="128"/>
      <c r="L59" s="127" t="s">
        <v>233</v>
      </c>
      <c r="M59" s="128"/>
      <c r="N59" s="127" t="s">
        <v>244</v>
      </c>
      <c r="O59" s="128"/>
      <c r="P59" s="127" t="s">
        <v>5</v>
      </c>
      <c r="Q59" s="128"/>
      <c r="R59" s="127" t="s">
        <v>4</v>
      </c>
      <c r="S59" s="128"/>
      <c r="T59" s="127" t="s">
        <v>6</v>
      </c>
      <c r="U59" s="128"/>
      <c r="V59" s="127" t="s">
        <v>7</v>
      </c>
      <c r="W59" s="128"/>
      <c r="X59" s="127" t="s">
        <v>8</v>
      </c>
      <c r="Y59" s="128"/>
      <c r="Z59" s="127" t="s">
        <v>9</v>
      </c>
      <c r="AA59" s="128"/>
      <c r="AB59" s="127" t="s">
        <v>240</v>
      </c>
      <c r="AC59" s="128"/>
      <c r="AD59" s="127" t="s">
        <v>10</v>
      </c>
      <c r="AE59" s="128"/>
      <c r="AF59" s="127" t="s">
        <v>11</v>
      </c>
      <c r="AG59" s="128"/>
      <c r="AH59" s="127" t="s">
        <v>234</v>
      </c>
      <c r="AI59" s="128"/>
      <c r="AJ59" s="127" t="s">
        <v>12</v>
      </c>
      <c r="AK59" s="128"/>
      <c r="AL59" s="127" t="s">
        <v>235</v>
      </c>
      <c r="AM59" s="128"/>
      <c r="AN59" s="127" t="s">
        <v>293</v>
      </c>
      <c r="AO59" s="128"/>
      <c r="AP59" s="127" t="s">
        <v>236</v>
      </c>
      <c r="AQ59" s="128"/>
      <c r="AR59" s="127" t="s">
        <v>239</v>
      </c>
      <c r="AS59" s="128"/>
      <c r="AT59" s="127" t="s">
        <v>13</v>
      </c>
      <c r="AU59" s="128"/>
      <c r="AV59" s="127" t="s">
        <v>14</v>
      </c>
      <c r="AW59" s="128"/>
      <c r="AX59" s="127" t="s">
        <v>15</v>
      </c>
      <c r="AY59" s="128"/>
      <c r="AZ59" s="127" t="s">
        <v>16</v>
      </c>
      <c r="BA59" s="128"/>
      <c r="BB59" s="127" t="s">
        <v>17</v>
      </c>
      <c r="BC59" s="128"/>
      <c r="BD59" s="127" t="s">
        <v>237</v>
      </c>
      <c r="BE59" s="128"/>
      <c r="BF59" s="127" t="s">
        <v>238</v>
      </c>
      <c r="BG59" s="128"/>
      <c r="BH59" s="127" t="s">
        <v>18</v>
      </c>
      <c r="BI59" s="128"/>
      <c r="BJ59" s="127" t="s">
        <v>19</v>
      </c>
      <c r="BK59" s="128"/>
      <c r="BL59" s="129" t="s">
        <v>20</v>
      </c>
      <c r="BM59" s="130"/>
    </row>
    <row r="60" spans="1:65" ht="30" x14ac:dyDescent="0.25">
      <c r="A60" s="3"/>
      <c r="B60" s="32" t="s">
        <v>299</v>
      </c>
      <c r="C60" s="33" t="s">
        <v>298</v>
      </c>
      <c r="D60" s="32" t="s">
        <v>299</v>
      </c>
      <c r="E60" s="33" t="s">
        <v>298</v>
      </c>
      <c r="F60" s="32" t="s">
        <v>299</v>
      </c>
      <c r="G60" s="33" t="s">
        <v>298</v>
      </c>
      <c r="H60" s="32" t="s">
        <v>299</v>
      </c>
      <c r="I60" s="33" t="s">
        <v>298</v>
      </c>
      <c r="J60" s="32" t="s">
        <v>299</v>
      </c>
      <c r="K60" s="33" t="s">
        <v>298</v>
      </c>
      <c r="L60" s="32" t="s">
        <v>299</v>
      </c>
      <c r="M60" s="33" t="s">
        <v>298</v>
      </c>
      <c r="N60" s="32" t="s">
        <v>299</v>
      </c>
      <c r="O60" s="33" t="s">
        <v>298</v>
      </c>
      <c r="P60" s="32" t="s">
        <v>299</v>
      </c>
      <c r="Q60" s="33" t="s">
        <v>298</v>
      </c>
      <c r="R60" s="32" t="s">
        <v>299</v>
      </c>
      <c r="S60" s="33" t="s">
        <v>298</v>
      </c>
      <c r="T60" s="32" t="s">
        <v>299</v>
      </c>
      <c r="U60" s="33" t="s">
        <v>298</v>
      </c>
      <c r="V60" s="32" t="s">
        <v>299</v>
      </c>
      <c r="W60" s="33" t="s">
        <v>298</v>
      </c>
      <c r="X60" s="32" t="s">
        <v>299</v>
      </c>
      <c r="Y60" s="33" t="s">
        <v>298</v>
      </c>
      <c r="Z60" s="32" t="s">
        <v>299</v>
      </c>
      <c r="AA60" s="33" t="s">
        <v>298</v>
      </c>
      <c r="AB60" s="32" t="s">
        <v>299</v>
      </c>
      <c r="AC60" s="33" t="s">
        <v>298</v>
      </c>
      <c r="AD60" s="32" t="s">
        <v>299</v>
      </c>
      <c r="AE60" s="33" t="s">
        <v>298</v>
      </c>
      <c r="AF60" s="32" t="s">
        <v>299</v>
      </c>
      <c r="AG60" s="33" t="s">
        <v>298</v>
      </c>
      <c r="AH60" s="32" t="s">
        <v>299</v>
      </c>
      <c r="AI60" s="33" t="s">
        <v>298</v>
      </c>
      <c r="AJ60" s="32" t="s">
        <v>299</v>
      </c>
      <c r="AK60" s="33" t="s">
        <v>298</v>
      </c>
      <c r="AL60" s="32" t="s">
        <v>299</v>
      </c>
      <c r="AM60" s="33" t="s">
        <v>298</v>
      </c>
      <c r="AN60" s="32" t="s">
        <v>299</v>
      </c>
      <c r="AO60" s="33" t="s">
        <v>298</v>
      </c>
      <c r="AP60" s="32" t="s">
        <v>299</v>
      </c>
      <c r="AQ60" s="33" t="s">
        <v>298</v>
      </c>
      <c r="AR60" s="32" t="s">
        <v>299</v>
      </c>
      <c r="AS60" s="33" t="s">
        <v>298</v>
      </c>
      <c r="AT60" s="32" t="s">
        <v>299</v>
      </c>
      <c r="AU60" s="33" t="s">
        <v>298</v>
      </c>
      <c r="AV60" s="32" t="s">
        <v>299</v>
      </c>
      <c r="AW60" s="33" t="s">
        <v>298</v>
      </c>
      <c r="AX60" s="32" t="s">
        <v>299</v>
      </c>
      <c r="AY60" s="33" t="s">
        <v>298</v>
      </c>
      <c r="AZ60" s="32" t="s">
        <v>299</v>
      </c>
      <c r="BA60" s="33" t="s">
        <v>298</v>
      </c>
      <c r="BB60" s="32" t="s">
        <v>299</v>
      </c>
      <c r="BC60" s="33" t="s">
        <v>298</v>
      </c>
      <c r="BD60" s="32" t="s">
        <v>299</v>
      </c>
      <c r="BE60" s="33" t="s">
        <v>298</v>
      </c>
      <c r="BF60" s="32" t="s">
        <v>299</v>
      </c>
      <c r="BG60" s="33" t="s">
        <v>298</v>
      </c>
      <c r="BH60" s="32" t="s">
        <v>299</v>
      </c>
      <c r="BI60" s="33" t="s">
        <v>298</v>
      </c>
      <c r="BJ60" s="32" t="s">
        <v>299</v>
      </c>
      <c r="BK60" s="33" t="s">
        <v>298</v>
      </c>
      <c r="BL60" s="32" t="s">
        <v>299</v>
      </c>
      <c r="BM60" s="33" t="s">
        <v>298</v>
      </c>
    </row>
    <row r="61" spans="1:65" x14ac:dyDescent="0.25">
      <c r="A61" s="9" t="s">
        <v>280</v>
      </c>
      <c r="B61" s="9"/>
      <c r="C61" s="9"/>
      <c r="D61" s="9"/>
      <c r="E61" s="9"/>
      <c r="F61" s="9"/>
      <c r="G61" s="9"/>
      <c r="H61" s="9">
        <v>121</v>
      </c>
      <c r="I61" s="9">
        <v>516</v>
      </c>
      <c r="J61" s="9"/>
      <c r="K61" s="9"/>
      <c r="L61" s="9">
        <v>1</v>
      </c>
      <c r="M61" s="9">
        <v>8</v>
      </c>
      <c r="N61" s="9"/>
      <c r="O61" s="9">
        <v>1</v>
      </c>
      <c r="P61" s="9"/>
      <c r="Q61" s="9"/>
      <c r="R61" s="9"/>
      <c r="S61" s="9"/>
      <c r="T61" s="9">
        <v>66.27</v>
      </c>
      <c r="U61" s="9">
        <v>185.7</v>
      </c>
      <c r="V61" s="9">
        <v>5</v>
      </c>
      <c r="W61" s="9">
        <v>15</v>
      </c>
      <c r="X61" s="9">
        <v>130</v>
      </c>
      <c r="Y61" s="9">
        <v>431</v>
      </c>
      <c r="Z61" s="9">
        <v>226</v>
      </c>
      <c r="AA61" s="9">
        <v>619</v>
      </c>
      <c r="AB61" s="9">
        <v>1</v>
      </c>
      <c r="AC61" s="9">
        <v>1</v>
      </c>
      <c r="AD61" s="9">
        <v>43</v>
      </c>
      <c r="AE61" s="9">
        <v>160</v>
      </c>
      <c r="AF61" s="47"/>
      <c r="AG61" s="9"/>
      <c r="AH61" s="9"/>
      <c r="AI61" s="9"/>
      <c r="AJ61" s="9"/>
      <c r="AK61" s="9"/>
      <c r="AL61" s="9"/>
      <c r="AM61" s="9"/>
      <c r="AN61" s="9"/>
      <c r="AO61" s="9"/>
      <c r="AP61" s="9">
        <v>178</v>
      </c>
      <c r="AQ61" s="9">
        <v>576</v>
      </c>
      <c r="AR61" s="9">
        <v>56</v>
      </c>
      <c r="AS61" s="9">
        <v>235</v>
      </c>
      <c r="AT61" s="9">
        <v>8</v>
      </c>
      <c r="AU61" s="9">
        <v>34</v>
      </c>
      <c r="AV61" s="9">
        <v>177</v>
      </c>
      <c r="AW61" s="9">
        <v>493</v>
      </c>
      <c r="AX61" s="9">
        <v>1</v>
      </c>
      <c r="AY61" s="9">
        <v>5</v>
      </c>
      <c r="AZ61" s="9"/>
      <c r="BA61" s="9"/>
      <c r="BB61" s="9">
        <v>975</v>
      </c>
      <c r="BC61" s="9">
        <v>3083</v>
      </c>
      <c r="BD61" s="9"/>
      <c r="BE61" s="9"/>
      <c r="BF61" s="9">
        <v>220</v>
      </c>
      <c r="BG61" s="9">
        <v>690</v>
      </c>
      <c r="BH61" s="9"/>
      <c r="BI61" s="9"/>
      <c r="BJ61" s="9">
        <v>5</v>
      </c>
      <c r="BK61" s="9">
        <v>118</v>
      </c>
      <c r="BL61" s="46">
        <f t="shared" ref="BL61:BL67" si="10">SUM(B61+D61+F61+H61+J61+L61+N61+P61+R61+T61+V61+X61+Z61+AB61+AD61+AF61+AH61+AJ61+AL61+AN61+AP61+AR61+AT61+AV61+AX61+AZ61+BB61+BD61+BF61+BH61+BJ61)</f>
        <v>2213.27</v>
      </c>
      <c r="BM61" s="46">
        <f t="shared" ref="BM61:BM67" si="11">SUM(C61+E61+G61+I61+K61+M61+O61+Q61+S61+U61+W61+Y61+AA61+AC61+AE61+AG61+AI61+AK61+AM61+AO61+AQ61+AS61+AU61+AW61+AY61+BA61+BC61+BE61+BG61+BI61+BK61)</f>
        <v>7170.7</v>
      </c>
    </row>
    <row r="62" spans="1:65" x14ac:dyDescent="0.25">
      <c r="A62" s="9" t="s">
        <v>281</v>
      </c>
      <c r="B62" s="9"/>
      <c r="C62" s="9"/>
      <c r="D62" s="9"/>
      <c r="E62" s="9"/>
      <c r="F62" s="9"/>
      <c r="G62" s="9"/>
      <c r="H62" s="9">
        <v>58</v>
      </c>
      <c r="I62" s="9">
        <v>116</v>
      </c>
      <c r="J62" s="9"/>
      <c r="K62" s="9"/>
      <c r="L62" s="9">
        <v>0</v>
      </c>
      <c r="M62" s="9">
        <v>0</v>
      </c>
      <c r="N62" s="9"/>
      <c r="O62" s="9"/>
      <c r="P62" s="9"/>
      <c r="Q62" s="9"/>
      <c r="R62" s="9"/>
      <c r="S62" s="9"/>
      <c r="T62" s="9">
        <v>16.98</v>
      </c>
      <c r="U62" s="9">
        <v>39.520000000000003</v>
      </c>
      <c r="V62" s="9">
        <v>2</v>
      </c>
      <c r="W62" s="9">
        <v>6</v>
      </c>
      <c r="X62" s="9">
        <v>33</v>
      </c>
      <c r="Y62" s="9">
        <v>111</v>
      </c>
      <c r="Z62" s="9">
        <v>165</v>
      </c>
      <c r="AA62" s="9">
        <v>503</v>
      </c>
      <c r="AB62" s="9">
        <v>0</v>
      </c>
      <c r="AC62" s="9">
        <v>0</v>
      </c>
      <c r="AD62" s="9">
        <v>17</v>
      </c>
      <c r="AE62" s="9">
        <v>24</v>
      </c>
      <c r="AF62" s="47"/>
      <c r="AG62" s="9"/>
      <c r="AH62" s="9"/>
      <c r="AI62" s="9"/>
      <c r="AJ62" s="9"/>
      <c r="AK62" s="9"/>
      <c r="AL62" s="9"/>
      <c r="AM62" s="9"/>
      <c r="AN62" s="9"/>
      <c r="AO62" s="9"/>
      <c r="AP62" s="9">
        <v>56</v>
      </c>
      <c r="AQ62" s="9">
        <v>164</v>
      </c>
      <c r="AR62" s="9">
        <v>17</v>
      </c>
      <c r="AS62" s="9">
        <v>62</v>
      </c>
      <c r="AT62" s="9">
        <v>1</v>
      </c>
      <c r="AU62" s="9">
        <v>8</v>
      </c>
      <c r="AV62" s="9">
        <v>53</v>
      </c>
      <c r="AW62" s="9">
        <v>147</v>
      </c>
      <c r="AX62" s="9">
        <v>0</v>
      </c>
      <c r="AY62" s="9">
        <v>1</v>
      </c>
      <c r="AZ62" s="9"/>
      <c r="BA62" s="9"/>
      <c r="BB62" s="9">
        <v>325</v>
      </c>
      <c r="BC62" s="9">
        <v>899</v>
      </c>
      <c r="BD62" s="9"/>
      <c r="BE62" s="9"/>
      <c r="BF62" s="9">
        <v>12</v>
      </c>
      <c r="BG62" s="9">
        <v>27</v>
      </c>
      <c r="BH62" s="9"/>
      <c r="BI62" s="9"/>
      <c r="BJ62" s="9">
        <v>2</v>
      </c>
      <c r="BK62" s="9">
        <v>33</v>
      </c>
      <c r="BL62" s="46">
        <f t="shared" si="10"/>
        <v>757.98</v>
      </c>
      <c r="BM62" s="46">
        <f t="shared" si="11"/>
        <v>2140.52</v>
      </c>
    </row>
    <row r="63" spans="1:65" x14ac:dyDescent="0.25">
      <c r="A63" s="9" t="s">
        <v>282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47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>
        <v>0</v>
      </c>
      <c r="BG63" s="9">
        <v>0</v>
      </c>
      <c r="BH63" s="9"/>
      <c r="BI63" s="9"/>
      <c r="BJ63" s="9"/>
      <c r="BK63" s="9"/>
      <c r="BL63" s="46">
        <f t="shared" si="10"/>
        <v>0</v>
      </c>
      <c r="BM63" s="46">
        <f t="shared" si="11"/>
        <v>0</v>
      </c>
    </row>
    <row r="64" spans="1:65" s="7" customFormat="1" x14ac:dyDescent="0.25">
      <c r="A64" s="10" t="s">
        <v>283</v>
      </c>
      <c r="B64" s="10"/>
      <c r="C64" s="10"/>
      <c r="D64" s="10"/>
      <c r="E64" s="10"/>
      <c r="F64" s="10"/>
      <c r="G64" s="10"/>
      <c r="H64" s="10">
        <v>179</v>
      </c>
      <c r="I64" s="10">
        <v>632</v>
      </c>
      <c r="J64" s="10"/>
      <c r="K64" s="10"/>
      <c r="L64" s="10">
        <v>1</v>
      </c>
      <c r="M64" s="10">
        <v>8</v>
      </c>
      <c r="N64" s="10"/>
      <c r="O64" s="10">
        <v>1</v>
      </c>
      <c r="P64" s="10"/>
      <c r="Q64" s="10"/>
      <c r="R64" s="10"/>
      <c r="S64" s="10"/>
      <c r="T64" s="10">
        <v>83.24</v>
      </c>
      <c r="U64" s="10">
        <v>225.22</v>
      </c>
      <c r="V64" s="10">
        <v>7</v>
      </c>
      <c r="W64" s="10">
        <v>20</v>
      </c>
      <c r="X64" s="10">
        <v>163</v>
      </c>
      <c r="Y64" s="10">
        <v>542</v>
      </c>
      <c r="Z64" s="10">
        <v>391</v>
      </c>
      <c r="AA64" s="10">
        <v>1122</v>
      </c>
      <c r="AB64" s="10">
        <v>1</v>
      </c>
      <c r="AC64" s="10">
        <v>1</v>
      </c>
      <c r="AD64" s="10">
        <v>60</v>
      </c>
      <c r="AE64" s="10">
        <v>185</v>
      </c>
      <c r="AF64" s="10"/>
      <c r="AG64" s="10"/>
      <c r="AH64" s="10"/>
      <c r="AI64" s="10"/>
      <c r="AJ64" s="10">
        <v>307</v>
      </c>
      <c r="AK64" s="10">
        <v>960</v>
      </c>
      <c r="AL64" s="10"/>
      <c r="AM64" s="10"/>
      <c r="AN64" s="10"/>
      <c r="AO64" s="10"/>
      <c r="AP64" s="10">
        <v>234</v>
      </c>
      <c r="AQ64" s="10">
        <v>740</v>
      </c>
      <c r="AR64" s="10">
        <v>74</v>
      </c>
      <c r="AS64" s="10">
        <v>296</v>
      </c>
      <c r="AT64" s="10">
        <v>9</v>
      </c>
      <c r="AU64" s="10">
        <v>41</v>
      </c>
      <c r="AV64" s="10">
        <v>230</v>
      </c>
      <c r="AW64" s="10">
        <v>640</v>
      </c>
      <c r="AX64" s="10">
        <v>2</v>
      </c>
      <c r="AY64" s="10">
        <v>6</v>
      </c>
      <c r="AZ64" s="10"/>
      <c r="BA64" s="10"/>
      <c r="BB64" s="10">
        <v>1299</v>
      </c>
      <c r="BC64" s="10">
        <v>3982</v>
      </c>
      <c r="BD64" s="10">
        <v>1981</v>
      </c>
      <c r="BE64" s="10">
        <v>6766</v>
      </c>
      <c r="BF64" s="10">
        <v>233</v>
      </c>
      <c r="BG64" s="10">
        <v>717</v>
      </c>
      <c r="BH64" s="10">
        <v>368</v>
      </c>
      <c r="BI64" s="10">
        <v>1156</v>
      </c>
      <c r="BJ64" s="10">
        <v>7</v>
      </c>
      <c r="BK64" s="10">
        <v>151</v>
      </c>
      <c r="BL64" s="42">
        <f t="shared" si="10"/>
        <v>5629.24</v>
      </c>
      <c r="BM64" s="42">
        <f t="shared" si="11"/>
        <v>18191.22</v>
      </c>
    </row>
    <row r="65" spans="1:65" x14ac:dyDescent="0.25">
      <c r="A65" s="9" t="s">
        <v>284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>
        <v>-6.66</v>
      </c>
      <c r="U65" s="9">
        <v>8.49</v>
      </c>
      <c r="V65" s="9">
        <v>2</v>
      </c>
      <c r="W65" s="9">
        <v>2</v>
      </c>
      <c r="X65" s="9"/>
      <c r="Y65" s="9">
        <v>106</v>
      </c>
      <c r="Z65" s="9"/>
      <c r="AA65" s="9"/>
      <c r="AB65" s="9"/>
      <c r="AC65" s="9"/>
      <c r="AD65" s="9">
        <v>13</v>
      </c>
      <c r="AE65" s="9">
        <v>28</v>
      </c>
      <c r="AF65" s="47"/>
      <c r="AG65" s="9"/>
      <c r="AH65" s="9"/>
      <c r="AI65" s="9"/>
      <c r="AJ65" s="9"/>
      <c r="AK65" s="9"/>
      <c r="AL65" s="9"/>
      <c r="AM65" s="9"/>
      <c r="AN65" s="9"/>
      <c r="AO65" s="9"/>
      <c r="AP65" s="9">
        <v>64</v>
      </c>
      <c r="AQ65" s="9">
        <v>106</v>
      </c>
      <c r="AR65" s="9">
        <v>26</v>
      </c>
      <c r="AS65" s="9">
        <v>43</v>
      </c>
      <c r="AT65" s="9"/>
      <c r="AU65" s="9">
        <v>0</v>
      </c>
      <c r="AV65" s="9">
        <v>25</v>
      </c>
      <c r="AW65" s="9">
        <v>112</v>
      </c>
      <c r="AX65" s="9"/>
      <c r="AY65" s="9"/>
      <c r="AZ65" s="9"/>
      <c r="BA65" s="9"/>
      <c r="BB65" s="9">
        <v>253</v>
      </c>
      <c r="BC65" s="9">
        <v>807</v>
      </c>
      <c r="BD65" s="9">
        <v>21</v>
      </c>
      <c r="BE65" s="9">
        <v>22</v>
      </c>
      <c r="BF65" s="9">
        <v>0</v>
      </c>
      <c r="BG65" s="9">
        <v>8</v>
      </c>
      <c r="BH65" s="9">
        <v>3</v>
      </c>
      <c r="BI65" s="9">
        <v>3</v>
      </c>
      <c r="BJ65" s="9"/>
      <c r="BK65" s="9"/>
      <c r="BL65" s="46">
        <f t="shared" si="10"/>
        <v>400.34000000000003</v>
      </c>
      <c r="BM65" s="46">
        <f t="shared" si="11"/>
        <v>1245.49</v>
      </c>
    </row>
    <row r="66" spans="1:65" x14ac:dyDescent="0.25">
      <c r="A66" s="9" t="s">
        <v>285</v>
      </c>
      <c r="B66" s="9">
        <v>124</v>
      </c>
      <c r="C66" s="9">
        <v>310</v>
      </c>
      <c r="D66" s="9"/>
      <c r="E66" s="9"/>
      <c r="F66" s="9"/>
      <c r="G66" s="9"/>
      <c r="H66" s="9">
        <v>-79</v>
      </c>
      <c r="I66" s="9">
        <v>-337</v>
      </c>
      <c r="J66" s="9"/>
      <c r="K66" s="9"/>
      <c r="L66" s="9">
        <v>5</v>
      </c>
      <c r="M66" s="9">
        <v>33</v>
      </c>
      <c r="N66" s="9">
        <v>-1</v>
      </c>
      <c r="O66" s="9">
        <v>-3</v>
      </c>
      <c r="P66" s="9"/>
      <c r="Q66" s="9"/>
      <c r="R66" s="9"/>
      <c r="S66" s="9"/>
      <c r="T66" s="9">
        <v>35.049999999999997</v>
      </c>
      <c r="U66" s="9">
        <v>134.47</v>
      </c>
      <c r="V66" s="9">
        <v>-7</v>
      </c>
      <c r="W66" s="9">
        <v>-22</v>
      </c>
      <c r="X66" s="9">
        <v>100</v>
      </c>
      <c r="Y66" s="9">
        <v>321</v>
      </c>
      <c r="Z66" s="9">
        <v>74</v>
      </c>
      <c r="AA66" s="9">
        <v>188</v>
      </c>
      <c r="AB66" s="9">
        <v>1</v>
      </c>
      <c r="AC66" s="9">
        <v>2</v>
      </c>
      <c r="AD66" s="9">
        <v>2</v>
      </c>
      <c r="AE66" s="9">
        <v>15</v>
      </c>
      <c r="AF66" s="47"/>
      <c r="AG66" s="9"/>
      <c r="AH66" s="9"/>
      <c r="AI66" s="9"/>
      <c r="AJ66" s="9">
        <v>18</v>
      </c>
      <c r="AK66" s="9">
        <v>68</v>
      </c>
      <c r="AL66" s="9"/>
      <c r="AM66" s="9"/>
      <c r="AN66" s="9"/>
      <c r="AO66" s="9"/>
      <c r="AP66" s="9">
        <v>62</v>
      </c>
      <c r="AQ66" s="9">
        <v>83</v>
      </c>
      <c r="AR66" s="9">
        <v>15</v>
      </c>
      <c r="AS66" s="9">
        <v>67</v>
      </c>
      <c r="AT66" s="9">
        <v>32</v>
      </c>
      <c r="AU66" s="9">
        <v>62</v>
      </c>
      <c r="AV66" s="9">
        <v>343</v>
      </c>
      <c r="AW66" s="9">
        <v>826</v>
      </c>
      <c r="AX66" s="9">
        <v>0</v>
      </c>
      <c r="AY66" s="9">
        <v>0</v>
      </c>
      <c r="AZ66" s="9"/>
      <c r="BA66" s="9"/>
      <c r="BB66" s="9">
        <v>3016</v>
      </c>
      <c r="BC66" s="9">
        <v>9308</v>
      </c>
      <c r="BD66" s="9">
        <v>367</v>
      </c>
      <c r="BE66" s="9">
        <v>1371</v>
      </c>
      <c r="BF66" s="9">
        <v>322</v>
      </c>
      <c r="BG66" s="9">
        <v>366</v>
      </c>
      <c r="BH66" s="9">
        <v>9</v>
      </c>
      <c r="BI66" s="9">
        <v>80</v>
      </c>
      <c r="BJ66" s="9">
        <v>3</v>
      </c>
      <c r="BK66" s="9">
        <v>43</v>
      </c>
      <c r="BL66" s="46">
        <f t="shared" si="10"/>
        <v>4441.05</v>
      </c>
      <c r="BM66" s="46">
        <f t="shared" si="11"/>
        <v>12915.47</v>
      </c>
    </row>
    <row r="67" spans="1:65" s="7" customFormat="1" x14ac:dyDescent="0.25">
      <c r="A67" s="10" t="s">
        <v>190</v>
      </c>
      <c r="B67" s="10">
        <v>-124</v>
      </c>
      <c r="C67" s="10">
        <v>-310</v>
      </c>
      <c r="D67" s="10"/>
      <c r="E67" s="10"/>
      <c r="F67" s="10"/>
      <c r="G67" s="10"/>
      <c r="H67" s="10">
        <v>101</v>
      </c>
      <c r="I67" s="10">
        <v>295</v>
      </c>
      <c r="J67" s="10"/>
      <c r="K67" s="10"/>
      <c r="L67" s="10">
        <v>-4</v>
      </c>
      <c r="M67" s="10">
        <v>-26</v>
      </c>
      <c r="N67" s="10">
        <v>-1</v>
      </c>
      <c r="O67" s="10">
        <v>-2</v>
      </c>
      <c r="P67" s="10"/>
      <c r="Q67" s="10"/>
      <c r="R67" s="10"/>
      <c r="S67" s="10"/>
      <c r="T67" s="10">
        <v>41.54</v>
      </c>
      <c r="U67" s="10">
        <v>99.24</v>
      </c>
      <c r="V67" s="10">
        <v>2</v>
      </c>
      <c r="W67" s="10">
        <v>1</v>
      </c>
      <c r="X67" s="10">
        <v>63</v>
      </c>
      <c r="Y67" s="10">
        <v>327</v>
      </c>
      <c r="Z67" s="10">
        <v>317</v>
      </c>
      <c r="AA67" s="10">
        <v>934</v>
      </c>
      <c r="AB67" s="10">
        <v>0</v>
      </c>
      <c r="AC67" s="10">
        <v>-1</v>
      </c>
      <c r="AD67" s="10">
        <v>72</v>
      </c>
      <c r="AE67" s="10">
        <v>198</v>
      </c>
      <c r="AF67" s="10"/>
      <c r="AG67" s="10"/>
      <c r="AH67" s="10"/>
      <c r="AI67" s="10"/>
      <c r="AJ67" s="10">
        <v>288</v>
      </c>
      <c r="AK67" s="10">
        <v>892</v>
      </c>
      <c r="AL67" s="10"/>
      <c r="AM67" s="10"/>
      <c r="AN67" s="10"/>
      <c r="AO67" s="10"/>
      <c r="AP67" s="10">
        <v>235</v>
      </c>
      <c r="AQ67" s="10">
        <v>763</v>
      </c>
      <c r="AR67" s="10">
        <v>85</v>
      </c>
      <c r="AS67" s="10">
        <v>273</v>
      </c>
      <c r="AT67" s="10">
        <v>-23</v>
      </c>
      <c r="AU67" s="10">
        <v>-20</v>
      </c>
      <c r="AV67" s="10">
        <v>-88</v>
      </c>
      <c r="AW67" s="10">
        <v>-74</v>
      </c>
      <c r="AX67" s="10">
        <v>2</v>
      </c>
      <c r="AY67" s="10">
        <v>5</v>
      </c>
      <c r="AZ67" s="10"/>
      <c r="BA67" s="10"/>
      <c r="BB67" s="10">
        <v>-1464</v>
      </c>
      <c r="BC67" s="10">
        <v>-4519</v>
      </c>
      <c r="BD67" s="10">
        <v>1636</v>
      </c>
      <c r="BE67" s="10">
        <v>5417</v>
      </c>
      <c r="BF67" s="10">
        <v>-89</v>
      </c>
      <c r="BG67" s="10">
        <v>359</v>
      </c>
      <c r="BH67" s="10">
        <v>362</v>
      </c>
      <c r="BI67" s="10">
        <v>1079</v>
      </c>
      <c r="BJ67" s="10">
        <v>4</v>
      </c>
      <c r="BK67" s="10">
        <v>108</v>
      </c>
      <c r="BL67" s="42">
        <f t="shared" si="10"/>
        <v>1415.54</v>
      </c>
      <c r="BM67" s="42">
        <f t="shared" si="11"/>
        <v>5798.24</v>
      </c>
    </row>
    <row r="69" spans="1:65" x14ac:dyDescent="0.25">
      <c r="A69" s="17" t="s">
        <v>185</v>
      </c>
    </row>
    <row r="70" spans="1:65" x14ac:dyDescent="0.25">
      <c r="A70" s="3" t="s">
        <v>0</v>
      </c>
      <c r="B70" s="127" t="s">
        <v>1</v>
      </c>
      <c r="C70" s="128"/>
      <c r="D70" s="127" t="s">
        <v>232</v>
      </c>
      <c r="E70" s="128"/>
      <c r="F70" s="127" t="s">
        <v>2</v>
      </c>
      <c r="G70" s="128"/>
      <c r="H70" s="127" t="s">
        <v>3</v>
      </c>
      <c r="I70" s="128"/>
      <c r="J70" s="127" t="s">
        <v>241</v>
      </c>
      <c r="K70" s="128"/>
      <c r="L70" s="127" t="s">
        <v>233</v>
      </c>
      <c r="M70" s="128"/>
      <c r="N70" s="127" t="s">
        <v>244</v>
      </c>
      <c r="O70" s="128"/>
      <c r="P70" s="127" t="s">
        <v>5</v>
      </c>
      <c r="Q70" s="128"/>
      <c r="R70" s="127" t="s">
        <v>4</v>
      </c>
      <c r="S70" s="128"/>
      <c r="T70" s="127" t="s">
        <v>6</v>
      </c>
      <c r="U70" s="128"/>
      <c r="V70" s="127" t="s">
        <v>7</v>
      </c>
      <c r="W70" s="128"/>
      <c r="X70" s="127" t="s">
        <v>8</v>
      </c>
      <c r="Y70" s="128"/>
      <c r="Z70" s="127" t="s">
        <v>9</v>
      </c>
      <c r="AA70" s="128"/>
      <c r="AB70" s="127" t="s">
        <v>240</v>
      </c>
      <c r="AC70" s="128"/>
      <c r="AD70" s="127" t="s">
        <v>10</v>
      </c>
      <c r="AE70" s="128"/>
      <c r="AF70" s="127" t="s">
        <v>11</v>
      </c>
      <c r="AG70" s="128"/>
      <c r="AH70" s="127" t="s">
        <v>234</v>
      </c>
      <c r="AI70" s="128"/>
      <c r="AJ70" s="127" t="s">
        <v>12</v>
      </c>
      <c r="AK70" s="128"/>
      <c r="AL70" s="127" t="s">
        <v>235</v>
      </c>
      <c r="AM70" s="128"/>
      <c r="AN70" s="127" t="s">
        <v>293</v>
      </c>
      <c r="AO70" s="128"/>
      <c r="AP70" s="127" t="s">
        <v>236</v>
      </c>
      <c r="AQ70" s="128"/>
      <c r="AR70" s="127" t="s">
        <v>239</v>
      </c>
      <c r="AS70" s="128"/>
      <c r="AT70" s="127" t="s">
        <v>13</v>
      </c>
      <c r="AU70" s="128"/>
      <c r="AV70" s="127" t="s">
        <v>14</v>
      </c>
      <c r="AW70" s="128"/>
      <c r="AX70" s="127" t="s">
        <v>15</v>
      </c>
      <c r="AY70" s="128"/>
      <c r="AZ70" s="127" t="s">
        <v>16</v>
      </c>
      <c r="BA70" s="128"/>
      <c r="BB70" s="127" t="s">
        <v>17</v>
      </c>
      <c r="BC70" s="128"/>
      <c r="BD70" s="127" t="s">
        <v>237</v>
      </c>
      <c r="BE70" s="128"/>
      <c r="BF70" s="127" t="s">
        <v>238</v>
      </c>
      <c r="BG70" s="128"/>
      <c r="BH70" s="127" t="s">
        <v>18</v>
      </c>
      <c r="BI70" s="128"/>
      <c r="BJ70" s="127" t="s">
        <v>19</v>
      </c>
      <c r="BK70" s="128"/>
      <c r="BL70" s="129" t="s">
        <v>20</v>
      </c>
      <c r="BM70" s="130"/>
    </row>
    <row r="71" spans="1:65" ht="30" x14ac:dyDescent="0.25">
      <c r="A71" s="3"/>
      <c r="B71" s="32" t="s">
        <v>299</v>
      </c>
      <c r="C71" s="33" t="s">
        <v>298</v>
      </c>
      <c r="D71" s="32" t="s">
        <v>299</v>
      </c>
      <c r="E71" s="33" t="s">
        <v>298</v>
      </c>
      <c r="F71" s="32" t="s">
        <v>299</v>
      </c>
      <c r="G71" s="33" t="s">
        <v>298</v>
      </c>
      <c r="H71" s="32" t="s">
        <v>299</v>
      </c>
      <c r="I71" s="33" t="s">
        <v>298</v>
      </c>
      <c r="J71" s="32" t="s">
        <v>299</v>
      </c>
      <c r="K71" s="33" t="s">
        <v>298</v>
      </c>
      <c r="L71" s="32" t="s">
        <v>299</v>
      </c>
      <c r="M71" s="33" t="s">
        <v>298</v>
      </c>
      <c r="N71" s="32" t="s">
        <v>299</v>
      </c>
      <c r="O71" s="33" t="s">
        <v>298</v>
      </c>
      <c r="P71" s="32" t="s">
        <v>299</v>
      </c>
      <c r="Q71" s="33" t="s">
        <v>298</v>
      </c>
      <c r="R71" s="32" t="s">
        <v>299</v>
      </c>
      <c r="S71" s="33" t="s">
        <v>298</v>
      </c>
      <c r="T71" s="32" t="s">
        <v>299</v>
      </c>
      <c r="U71" s="33" t="s">
        <v>298</v>
      </c>
      <c r="V71" s="32" t="s">
        <v>299</v>
      </c>
      <c r="W71" s="33" t="s">
        <v>298</v>
      </c>
      <c r="X71" s="32" t="s">
        <v>299</v>
      </c>
      <c r="Y71" s="33" t="s">
        <v>298</v>
      </c>
      <c r="Z71" s="32" t="s">
        <v>299</v>
      </c>
      <c r="AA71" s="33" t="s">
        <v>298</v>
      </c>
      <c r="AB71" s="32" t="s">
        <v>299</v>
      </c>
      <c r="AC71" s="33" t="s">
        <v>298</v>
      </c>
      <c r="AD71" s="32" t="s">
        <v>299</v>
      </c>
      <c r="AE71" s="33" t="s">
        <v>298</v>
      </c>
      <c r="AF71" s="32" t="s">
        <v>299</v>
      </c>
      <c r="AG71" s="33" t="s">
        <v>298</v>
      </c>
      <c r="AH71" s="32" t="s">
        <v>299</v>
      </c>
      <c r="AI71" s="33" t="s">
        <v>298</v>
      </c>
      <c r="AJ71" s="32" t="s">
        <v>299</v>
      </c>
      <c r="AK71" s="33" t="s">
        <v>298</v>
      </c>
      <c r="AL71" s="32" t="s">
        <v>299</v>
      </c>
      <c r="AM71" s="33" t="s">
        <v>298</v>
      </c>
      <c r="AN71" s="32" t="s">
        <v>299</v>
      </c>
      <c r="AO71" s="33" t="s">
        <v>298</v>
      </c>
      <c r="AP71" s="32" t="s">
        <v>299</v>
      </c>
      <c r="AQ71" s="33" t="s">
        <v>298</v>
      </c>
      <c r="AR71" s="32" t="s">
        <v>299</v>
      </c>
      <c r="AS71" s="33" t="s">
        <v>298</v>
      </c>
      <c r="AT71" s="32" t="s">
        <v>299</v>
      </c>
      <c r="AU71" s="33" t="s">
        <v>298</v>
      </c>
      <c r="AV71" s="32" t="s">
        <v>299</v>
      </c>
      <c r="AW71" s="33" t="s">
        <v>298</v>
      </c>
      <c r="AX71" s="32" t="s">
        <v>299</v>
      </c>
      <c r="AY71" s="33" t="s">
        <v>298</v>
      </c>
      <c r="AZ71" s="32" t="s">
        <v>299</v>
      </c>
      <c r="BA71" s="33" t="s">
        <v>298</v>
      </c>
      <c r="BB71" s="32" t="s">
        <v>299</v>
      </c>
      <c r="BC71" s="33" t="s">
        <v>298</v>
      </c>
      <c r="BD71" s="32" t="s">
        <v>299</v>
      </c>
      <c r="BE71" s="33" t="s">
        <v>298</v>
      </c>
      <c r="BF71" s="32" t="s">
        <v>299</v>
      </c>
      <c r="BG71" s="33" t="s">
        <v>298</v>
      </c>
      <c r="BH71" s="32" t="s">
        <v>299</v>
      </c>
      <c r="BI71" s="33" t="s">
        <v>298</v>
      </c>
      <c r="BJ71" s="32" t="s">
        <v>299</v>
      </c>
      <c r="BK71" s="33" t="s">
        <v>298</v>
      </c>
      <c r="BL71" s="32" t="s">
        <v>299</v>
      </c>
      <c r="BM71" s="33" t="s">
        <v>298</v>
      </c>
    </row>
    <row r="72" spans="1:65" x14ac:dyDescent="0.25">
      <c r="A72" s="9" t="s">
        <v>280</v>
      </c>
      <c r="B72" s="9"/>
      <c r="C72" s="9"/>
      <c r="D72" s="9"/>
      <c r="E72" s="9"/>
      <c r="F72" s="9"/>
      <c r="G72" s="9"/>
      <c r="H72" s="9">
        <v>501</v>
      </c>
      <c r="I72" s="9">
        <v>1736</v>
      </c>
      <c r="J72" s="9"/>
      <c r="K72" s="9"/>
      <c r="L72" s="9">
        <v>63</v>
      </c>
      <c r="M72" s="9">
        <v>178</v>
      </c>
      <c r="N72" s="9">
        <v>3</v>
      </c>
      <c r="O72" s="9">
        <v>386</v>
      </c>
      <c r="P72" s="9"/>
      <c r="Q72" s="9"/>
      <c r="R72" s="9">
        <v>4.9000000000000004</v>
      </c>
      <c r="S72" s="9">
        <v>15.66</v>
      </c>
      <c r="T72" s="9">
        <v>190.28</v>
      </c>
      <c r="U72" s="9">
        <v>566.25</v>
      </c>
      <c r="V72" s="9">
        <v>359</v>
      </c>
      <c r="W72" s="9">
        <v>1123</v>
      </c>
      <c r="X72" s="9">
        <v>1164</v>
      </c>
      <c r="Y72" s="9">
        <v>3126</v>
      </c>
      <c r="Z72" s="9">
        <v>428</v>
      </c>
      <c r="AA72" s="9">
        <v>1219</v>
      </c>
      <c r="AB72" s="9">
        <v>16</v>
      </c>
      <c r="AC72" s="9">
        <v>58</v>
      </c>
      <c r="AD72" s="9">
        <v>63</v>
      </c>
      <c r="AE72" s="9">
        <v>235</v>
      </c>
      <c r="AF72" s="47">
        <v>16</v>
      </c>
      <c r="AG72" s="9">
        <v>37</v>
      </c>
      <c r="AH72" s="9"/>
      <c r="AI72" s="9"/>
      <c r="AJ72" s="9"/>
      <c r="AK72" s="9"/>
      <c r="AL72" s="9"/>
      <c r="AM72" s="9"/>
      <c r="AN72" s="9"/>
      <c r="AO72" s="9"/>
      <c r="AP72" s="9">
        <v>9</v>
      </c>
      <c r="AQ72" s="9">
        <v>24</v>
      </c>
      <c r="AR72" s="9">
        <v>284</v>
      </c>
      <c r="AS72" s="9">
        <v>1040</v>
      </c>
      <c r="AT72" s="9">
        <v>116</v>
      </c>
      <c r="AU72" s="9">
        <v>388</v>
      </c>
      <c r="AV72" s="9">
        <v>103</v>
      </c>
      <c r="AW72" s="9">
        <v>493</v>
      </c>
      <c r="AX72" s="9">
        <v>27</v>
      </c>
      <c r="AY72" s="9">
        <v>74</v>
      </c>
      <c r="AZ72" s="9"/>
      <c r="BA72" s="9"/>
      <c r="BB72" s="9">
        <v>320</v>
      </c>
      <c r="BC72" s="9">
        <v>955</v>
      </c>
      <c r="BD72" s="9"/>
      <c r="BE72" s="9"/>
      <c r="BF72" s="9">
        <v>559</v>
      </c>
      <c r="BG72" s="9">
        <v>1728</v>
      </c>
      <c r="BH72" s="9"/>
      <c r="BI72" s="9"/>
      <c r="BJ72" s="9">
        <v>12</v>
      </c>
      <c r="BK72" s="9">
        <v>67</v>
      </c>
      <c r="BL72" s="46">
        <f t="shared" ref="BL72:BL78" si="12">SUM(B72+D72+F72+H72+J72+L72+N72+P72+R72+T72+V72+X72+Z72+AB72+AD72+AF72+AH72+AJ72+AL72+AN72+AP72+AR72+AT72+AV72+AX72+AZ72+BB72+BD72+BF72+BH72+BJ72)</f>
        <v>4238.18</v>
      </c>
      <c r="BM72" s="46">
        <f t="shared" ref="BM72:BM78" si="13">SUM(C72+E72+G72+I72+K72+M72+O72+Q72+S72+U72+W72+Y72+AA72+AC72+AE72+AG72+AI72+AK72+AM72+AO72+AQ72+AS72+AU72+AW72+AY72+BA72+BC72+BE72+BG72+BI72+BK72)</f>
        <v>13448.91</v>
      </c>
    </row>
    <row r="73" spans="1:65" x14ac:dyDescent="0.25">
      <c r="A73" s="9" t="s">
        <v>281</v>
      </c>
      <c r="B73" s="9"/>
      <c r="C73" s="9"/>
      <c r="D73" s="9"/>
      <c r="E73" s="9"/>
      <c r="F73" s="9"/>
      <c r="G73" s="9"/>
      <c r="H73" s="9">
        <v>136</v>
      </c>
      <c r="I73" s="9">
        <v>360</v>
      </c>
      <c r="J73" s="9"/>
      <c r="K73" s="9"/>
      <c r="L73" s="9">
        <v>6</v>
      </c>
      <c r="M73" s="9">
        <v>6</v>
      </c>
      <c r="N73" s="9"/>
      <c r="O73" s="9">
        <v>2</v>
      </c>
      <c r="P73" s="9"/>
      <c r="Q73" s="9"/>
      <c r="R73" s="9">
        <v>2.82</v>
      </c>
      <c r="S73" s="9">
        <v>2.84</v>
      </c>
      <c r="T73" s="9">
        <v>11.71</v>
      </c>
      <c r="U73" s="9">
        <v>39.99</v>
      </c>
      <c r="V73" s="9">
        <v>169</v>
      </c>
      <c r="W73" s="9">
        <v>406</v>
      </c>
      <c r="X73" s="9">
        <v>246</v>
      </c>
      <c r="Y73" s="9">
        <v>646</v>
      </c>
      <c r="Z73" s="9">
        <v>79</v>
      </c>
      <c r="AA73" s="9">
        <v>336</v>
      </c>
      <c r="AB73" s="9">
        <v>5</v>
      </c>
      <c r="AC73" s="9">
        <v>17</v>
      </c>
      <c r="AD73" s="9">
        <v>19</v>
      </c>
      <c r="AE73" s="9">
        <v>38</v>
      </c>
      <c r="AF73" s="47">
        <v>7</v>
      </c>
      <c r="AG73" s="9">
        <v>17</v>
      </c>
      <c r="AH73" s="9"/>
      <c r="AI73" s="9"/>
      <c r="AJ73" s="9"/>
      <c r="AK73" s="9"/>
      <c r="AL73" s="9"/>
      <c r="AM73" s="9"/>
      <c r="AN73" s="9"/>
      <c r="AO73" s="9"/>
      <c r="AP73" s="9">
        <v>2</v>
      </c>
      <c r="AQ73" s="9">
        <v>5</v>
      </c>
      <c r="AR73" s="9">
        <v>65</v>
      </c>
      <c r="AS73" s="9">
        <v>207</v>
      </c>
      <c r="AT73" s="9">
        <v>29</v>
      </c>
      <c r="AU73" s="9">
        <v>101</v>
      </c>
      <c r="AV73" s="9">
        <v>31</v>
      </c>
      <c r="AW73" s="9">
        <v>147</v>
      </c>
      <c r="AX73" s="9">
        <v>5</v>
      </c>
      <c r="AY73" s="9">
        <v>13</v>
      </c>
      <c r="AZ73" s="9"/>
      <c r="BA73" s="9"/>
      <c r="BB73" s="9">
        <v>118</v>
      </c>
      <c r="BC73" s="9">
        <v>321</v>
      </c>
      <c r="BD73" s="9"/>
      <c r="BE73" s="9"/>
      <c r="BF73" s="9">
        <v>151</v>
      </c>
      <c r="BG73" s="9">
        <v>357</v>
      </c>
      <c r="BH73" s="9"/>
      <c r="BI73" s="9"/>
      <c r="BJ73" s="9"/>
      <c r="BK73" s="9">
        <v>8</v>
      </c>
      <c r="BL73" s="46">
        <f t="shared" si="12"/>
        <v>1082.53</v>
      </c>
      <c r="BM73" s="46">
        <f t="shared" si="13"/>
        <v>3029.83</v>
      </c>
    </row>
    <row r="74" spans="1:65" x14ac:dyDescent="0.25">
      <c r="A74" s="9" t="s">
        <v>282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7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>
        <v>0</v>
      </c>
      <c r="BG74" s="9">
        <v>0</v>
      </c>
      <c r="BH74" s="9"/>
      <c r="BI74" s="9"/>
      <c r="BJ74" s="9"/>
      <c r="BK74" s="9"/>
      <c r="BL74" s="46">
        <f t="shared" si="12"/>
        <v>0</v>
      </c>
      <c r="BM74" s="46">
        <f t="shared" si="13"/>
        <v>0</v>
      </c>
    </row>
    <row r="75" spans="1:65" s="7" customFormat="1" x14ac:dyDescent="0.25">
      <c r="A75" s="10" t="s">
        <v>283</v>
      </c>
      <c r="B75" s="10"/>
      <c r="C75" s="10"/>
      <c r="D75" s="10"/>
      <c r="E75" s="10"/>
      <c r="F75" s="10"/>
      <c r="G75" s="10"/>
      <c r="H75" s="10">
        <v>637</v>
      </c>
      <c r="I75" s="10">
        <v>2096</v>
      </c>
      <c r="J75" s="10"/>
      <c r="K75" s="10"/>
      <c r="L75" s="10">
        <v>68</v>
      </c>
      <c r="M75" s="10">
        <v>184</v>
      </c>
      <c r="N75" s="10">
        <v>3</v>
      </c>
      <c r="O75" s="10">
        <v>388</v>
      </c>
      <c r="P75" s="10"/>
      <c r="Q75" s="10"/>
      <c r="R75" s="10">
        <v>7.72</v>
      </c>
      <c r="S75" s="10">
        <v>18.5</v>
      </c>
      <c r="T75" s="10">
        <v>201.99</v>
      </c>
      <c r="U75" s="10">
        <v>606.24</v>
      </c>
      <c r="V75" s="10">
        <v>529</v>
      </c>
      <c r="W75" s="10">
        <v>1530</v>
      </c>
      <c r="X75" s="10">
        <v>1410</v>
      </c>
      <c r="Y75" s="10">
        <v>3772</v>
      </c>
      <c r="Z75" s="10">
        <v>507</v>
      </c>
      <c r="AA75" s="10">
        <v>1555</v>
      </c>
      <c r="AB75" s="10">
        <v>21</v>
      </c>
      <c r="AC75" s="10">
        <v>76</v>
      </c>
      <c r="AD75" s="10">
        <v>82</v>
      </c>
      <c r="AE75" s="10">
        <v>273</v>
      </c>
      <c r="AF75" s="10">
        <v>23</v>
      </c>
      <c r="AG75" s="10">
        <v>53</v>
      </c>
      <c r="AH75" s="10"/>
      <c r="AI75" s="10"/>
      <c r="AJ75" s="10">
        <v>723</v>
      </c>
      <c r="AK75" s="10">
        <v>2492</v>
      </c>
      <c r="AL75" s="10"/>
      <c r="AM75" s="10"/>
      <c r="AN75" s="10"/>
      <c r="AO75" s="10"/>
      <c r="AP75" s="10">
        <v>10</v>
      </c>
      <c r="AQ75" s="10">
        <v>29</v>
      </c>
      <c r="AR75" s="10">
        <v>349</v>
      </c>
      <c r="AS75" s="10">
        <v>1247</v>
      </c>
      <c r="AT75" s="10">
        <v>145</v>
      </c>
      <c r="AU75" s="10">
        <v>489</v>
      </c>
      <c r="AV75" s="10">
        <v>133</v>
      </c>
      <c r="AW75" s="10">
        <v>640</v>
      </c>
      <c r="AX75" s="10">
        <v>32</v>
      </c>
      <c r="AY75" s="10">
        <v>87</v>
      </c>
      <c r="AZ75" s="10"/>
      <c r="BA75" s="10"/>
      <c r="BB75" s="10">
        <v>438</v>
      </c>
      <c r="BC75" s="10">
        <v>1276</v>
      </c>
      <c r="BD75" s="10">
        <v>2407</v>
      </c>
      <c r="BE75" s="10">
        <v>7713</v>
      </c>
      <c r="BF75" s="10">
        <v>709</v>
      </c>
      <c r="BG75" s="10">
        <v>2084</v>
      </c>
      <c r="BH75" s="10">
        <v>1034</v>
      </c>
      <c r="BI75" s="10">
        <v>3294</v>
      </c>
      <c r="BJ75" s="10">
        <v>12</v>
      </c>
      <c r="BK75" s="10">
        <v>75</v>
      </c>
      <c r="BL75" s="42">
        <f t="shared" si="12"/>
        <v>9481.7099999999991</v>
      </c>
      <c r="BM75" s="42">
        <f t="shared" si="13"/>
        <v>29977.739999999998</v>
      </c>
    </row>
    <row r="76" spans="1:65" x14ac:dyDescent="0.25">
      <c r="A76" s="9" t="s">
        <v>284</v>
      </c>
      <c r="B76" s="9"/>
      <c r="C76" s="9"/>
      <c r="D76" s="9"/>
      <c r="E76" s="9"/>
      <c r="F76" s="9"/>
      <c r="G76" s="9"/>
      <c r="H76" s="9">
        <v>16</v>
      </c>
      <c r="I76" s="9">
        <v>49</v>
      </c>
      <c r="J76" s="9"/>
      <c r="K76" s="9"/>
      <c r="L76" s="9">
        <v>1</v>
      </c>
      <c r="M76" s="9">
        <v>4</v>
      </c>
      <c r="N76" s="9">
        <v>36</v>
      </c>
      <c r="O76" s="9">
        <v>144</v>
      </c>
      <c r="P76" s="9"/>
      <c r="Q76" s="9"/>
      <c r="R76" s="9">
        <v>2.69</v>
      </c>
      <c r="S76" s="9">
        <v>6.96</v>
      </c>
      <c r="T76" s="9">
        <v>5.05</v>
      </c>
      <c r="U76" s="9">
        <v>63.73</v>
      </c>
      <c r="V76" s="9">
        <v>32</v>
      </c>
      <c r="W76" s="9">
        <v>83</v>
      </c>
      <c r="X76" s="9">
        <v>140</v>
      </c>
      <c r="Y76" s="9">
        <v>252</v>
      </c>
      <c r="Z76" s="9">
        <v>19</v>
      </c>
      <c r="AA76" s="9">
        <v>43</v>
      </c>
      <c r="AB76" s="9">
        <v>1</v>
      </c>
      <c r="AC76" s="9">
        <v>5</v>
      </c>
      <c r="AD76" s="9">
        <v>1</v>
      </c>
      <c r="AE76" s="9">
        <v>2</v>
      </c>
      <c r="AF76" s="47">
        <v>11</v>
      </c>
      <c r="AG76" s="9">
        <v>27</v>
      </c>
      <c r="AH76" s="9"/>
      <c r="AI76" s="9"/>
      <c r="AJ76" s="9">
        <v>93</v>
      </c>
      <c r="AK76" s="9">
        <v>233</v>
      </c>
      <c r="AL76" s="9">
        <v>1</v>
      </c>
      <c r="AM76" s="9">
        <v>1</v>
      </c>
      <c r="AN76" s="9"/>
      <c r="AO76" s="9"/>
      <c r="AP76" s="9">
        <v>0</v>
      </c>
      <c r="AQ76" s="9">
        <v>8</v>
      </c>
      <c r="AR76" s="9">
        <v>8</v>
      </c>
      <c r="AS76" s="9">
        <v>22</v>
      </c>
      <c r="AT76" s="9">
        <v>42</v>
      </c>
      <c r="AU76" s="9">
        <v>92</v>
      </c>
      <c r="AV76" s="9">
        <v>2</v>
      </c>
      <c r="AW76" s="9">
        <v>112</v>
      </c>
      <c r="AX76" s="9">
        <v>6</v>
      </c>
      <c r="AY76" s="9">
        <v>24</v>
      </c>
      <c r="AZ76" s="9"/>
      <c r="BA76" s="9"/>
      <c r="BB76" s="9">
        <v>23</v>
      </c>
      <c r="BC76" s="9">
        <v>64</v>
      </c>
      <c r="BD76" s="9">
        <v>142</v>
      </c>
      <c r="BE76" s="9">
        <v>504</v>
      </c>
      <c r="BF76" s="9">
        <v>843</v>
      </c>
      <c r="BG76" s="9">
        <v>1286</v>
      </c>
      <c r="BH76" s="9">
        <v>162</v>
      </c>
      <c r="BI76" s="9">
        <v>353</v>
      </c>
      <c r="BJ76" s="9">
        <v>13</v>
      </c>
      <c r="BK76" s="9">
        <v>8</v>
      </c>
      <c r="BL76" s="46">
        <f t="shared" si="12"/>
        <v>1599.74</v>
      </c>
      <c r="BM76" s="46">
        <f t="shared" si="13"/>
        <v>3386.69</v>
      </c>
    </row>
    <row r="77" spans="1:65" x14ac:dyDescent="0.25">
      <c r="A77" s="9" t="s">
        <v>285</v>
      </c>
      <c r="B77" s="9"/>
      <c r="C77" s="9"/>
      <c r="D77" s="9"/>
      <c r="E77" s="9"/>
      <c r="F77" s="9"/>
      <c r="G77" s="9"/>
      <c r="H77" s="9">
        <v>-1175</v>
      </c>
      <c r="I77" s="9">
        <v>-3476</v>
      </c>
      <c r="J77" s="9"/>
      <c r="K77" s="9"/>
      <c r="L77" s="9">
        <v>83</v>
      </c>
      <c r="M77" s="9">
        <v>250</v>
      </c>
      <c r="N77" s="9">
        <v>-491</v>
      </c>
      <c r="O77" s="9">
        <v>-1196</v>
      </c>
      <c r="P77" s="9"/>
      <c r="Q77" s="9"/>
      <c r="R77" s="9">
        <v>20.21</v>
      </c>
      <c r="S77" s="9">
        <v>76.09</v>
      </c>
      <c r="T77" s="9">
        <v>206.94</v>
      </c>
      <c r="U77" s="9">
        <v>960.76</v>
      </c>
      <c r="V77" s="9">
        <v>-959</v>
      </c>
      <c r="W77" s="9">
        <v>-2956</v>
      </c>
      <c r="X77" s="9">
        <v>3386</v>
      </c>
      <c r="Y77" s="9">
        <v>7145</v>
      </c>
      <c r="Z77" s="9">
        <v>461</v>
      </c>
      <c r="AA77" s="9">
        <v>1362</v>
      </c>
      <c r="AB77" s="9">
        <v>32</v>
      </c>
      <c r="AC77" s="9">
        <v>92</v>
      </c>
      <c r="AD77" s="9">
        <v>99</v>
      </c>
      <c r="AE77" s="9">
        <v>363</v>
      </c>
      <c r="AF77" s="47">
        <v>-33</v>
      </c>
      <c r="AG77" s="9">
        <v>-89</v>
      </c>
      <c r="AH77" s="9"/>
      <c r="AI77" s="9"/>
      <c r="AJ77" s="9">
        <v>411</v>
      </c>
      <c r="AK77" s="9">
        <v>1158</v>
      </c>
      <c r="AL77" s="9"/>
      <c r="AM77" s="9"/>
      <c r="AN77" s="9"/>
      <c r="AO77" s="9"/>
      <c r="AP77" s="9">
        <v>10</v>
      </c>
      <c r="AQ77" s="9">
        <v>31</v>
      </c>
      <c r="AR77" s="9">
        <v>510</v>
      </c>
      <c r="AS77" s="9">
        <v>1332</v>
      </c>
      <c r="AT77" s="9">
        <v>419</v>
      </c>
      <c r="AU77" s="9">
        <v>1203</v>
      </c>
      <c r="AV77" s="9">
        <v>211</v>
      </c>
      <c r="AW77" s="9">
        <v>826</v>
      </c>
      <c r="AX77" s="9">
        <v>68</v>
      </c>
      <c r="AY77" s="9">
        <v>179</v>
      </c>
      <c r="AZ77" s="9"/>
      <c r="BA77" s="9"/>
      <c r="BB77" s="9">
        <v>966</v>
      </c>
      <c r="BC77" s="9">
        <v>2824</v>
      </c>
      <c r="BD77" s="9">
        <v>2047</v>
      </c>
      <c r="BE77" s="9">
        <v>5733</v>
      </c>
      <c r="BF77" s="9">
        <v>720</v>
      </c>
      <c r="BG77" s="9">
        <v>1400</v>
      </c>
      <c r="BH77" s="9">
        <v>270</v>
      </c>
      <c r="BI77" s="9">
        <v>799</v>
      </c>
      <c r="BJ77" s="9">
        <v>46</v>
      </c>
      <c r="BK77" s="9">
        <v>158</v>
      </c>
      <c r="BL77" s="46">
        <f t="shared" si="12"/>
        <v>7308.15</v>
      </c>
      <c r="BM77" s="46">
        <f t="shared" si="13"/>
        <v>18174.849999999999</v>
      </c>
    </row>
    <row r="78" spans="1:65" s="7" customFormat="1" x14ac:dyDescent="0.25">
      <c r="A78" s="10" t="s">
        <v>190</v>
      </c>
      <c r="B78" s="10"/>
      <c r="C78" s="10"/>
      <c r="D78" s="10"/>
      <c r="E78" s="10"/>
      <c r="F78" s="10"/>
      <c r="G78" s="10"/>
      <c r="H78" s="10">
        <v>-522</v>
      </c>
      <c r="I78" s="10">
        <v>-1331</v>
      </c>
      <c r="J78" s="10"/>
      <c r="K78" s="10"/>
      <c r="L78" s="10">
        <v>-14</v>
      </c>
      <c r="M78" s="10">
        <v>-62</v>
      </c>
      <c r="N78" s="10">
        <v>-452</v>
      </c>
      <c r="O78" s="10">
        <v>-664</v>
      </c>
      <c r="P78" s="10"/>
      <c r="Q78" s="10"/>
      <c r="R78" s="10">
        <v>-9.8000000000000007</v>
      </c>
      <c r="S78" s="10">
        <v>-50.63</v>
      </c>
      <c r="T78" s="10">
        <v>0.09</v>
      </c>
      <c r="U78" s="10">
        <v>-290.79000000000002</v>
      </c>
      <c r="V78" s="10">
        <v>-398</v>
      </c>
      <c r="W78" s="10">
        <v>-1343</v>
      </c>
      <c r="X78" s="10">
        <v>-1836</v>
      </c>
      <c r="Y78" s="10">
        <v>-3121</v>
      </c>
      <c r="Z78" s="10">
        <v>65</v>
      </c>
      <c r="AA78" s="10">
        <v>236</v>
      </c>
      <c r="AB78" s="10">
        <v>-10</v>
      </c>
      <c r="AC78" s="10">
        <v>-11</v>
      </c>
      <c r="AD78" s="10">
        <v>-16</v>
      </c>
      <c r="AE78" s="10">
        <v>-88</v>
      </c>
      <c r="AF78" s="10">
        <v>1</v>
      </c>
      <c r="AG78" s="10">
        <v>-9</v>
      </c>
      <c r="AH78" s="10"/>
      <c r="AI78" s="10"/>
      <c r="AJ78" s="10">
        <v>405</v>
      </c>
      <c r="AK78" s="10">
        <v>1567</v>
      </c>
      <c r="AL78" s="10">
        <v>1</v>
      </c>
      <c r="AM78" s="10">
        <v>1</v>
      </c>
      <c r="AN78" s="10"/>
      <c r="AO78" s="10"/>
      <c r="AP78" s="10">
        <v>1</v>
      </c>
      <c r="AQ78" s="10">
        <v>7</v>
      </c>
      <c r="AR78" s="10">
        <v>-154</v>
      </c>
      <c r="AS78" s="10">
        <v>-63</v>
      </c>
      <c r="AT78" s="10">
        <v>-232</v>
      </c>
      <c r="AU78" s="10">
        <v>-622</v>
      </c>
      <c r="AV78" s="10">
        <v>-76</v>
      </c>
      <c r="AW78" s="10">
        <v>-74</v>
      </c>
      <c r="AX78" s="10">
        <v>-30</v>
      </c>
      <c r="AY78" s="10">
        <v>-67</v>
      </c>
      <c r="AZ78" s="10"/>
      <c r="BA78" s="10"/>
      <c r="BB78" s="10">
        <v>-505</v>
      </c>
      <c r="BC78" s="10">
        <v>-1484</v>
      </c>
      <c r="BD78" s="10">
        <v>502</v>
      </c>
      <c r="BE78" s="10">
        <v>2484</v>
      </c>
      <c r="BF78" s="10">
        <v>833</v>
      </c>
      <c r="BG78" s="10">
        <v>1970</v>
      </c>
      <c r="BH78" s="10">
        <v>926</v>
      </c>
      <c r="BI78" s="10">
        <v>2847</v>
      </c>
      <c r="BJ78" s="10">
        <v>-21</v>
      </c>
      <c r="BK78" s="10">
        <v>-76</v>
      </c>
      <c r="BL78" s="42">
        <f t="shared" si="12"/>
        <v>-1541.71</v>
      </c>
      <c r="BM78" s="42">
        <f t="shared" si="13"/>
        <v>-244.42000000000007</v>
      </c>
    </row>
    <row r="80" spans="1:65" x14ac:dyDescent="0.25">
      <c r="A80" s="17" t="s">
        <v>188</v>
      </c>
    </row>
    <row r="81" spans="1:65" x14ac:dyDescent="0.25">
      <c r="A81" s="3" t="s">
        <v>0</v>
      </c>
      <c r="B81" s="127" t="s">
        <v>1</v>
      </c>
      <c r="C81" s="128"/>
      <c r="D81" s="127" t="s">
        <v>232</v>
      </c>
      <c r="E81" s="128"/>
      <c r="F81" s="127" t="s">
        <v>2</v>
      </c>
      <c r="G81" s="128"/>
      <c r="H81" s="127" t="s">
        <v>3</v>
      </c>
      <c r="I81" s="128"/>
      <c r="J81" s="127" t="s">
        <v>241</v>
      </c>
      <c r="K81" s="128"/>
      <c r="L81" s="127" t="s">
        <v>233</v>
      </c>
      <c r="M81" s="128"/>
      <c r="N81" s="127" t="s">
        <v>244</v>
      </c>
      <c r="O81" s="128"/>
      <c r="P81" s="127" t="s">
        <v>5</v>
      </c>
      <c r="Q81" s="128"/>
      <c r="R81" s="127" t="s">
        <v>4</v>
      </c>
      <c r="S81" s="128"/>
      <c r="T81" s="127" t="s">
        <v>6</v>
      </c>
      <c r="U81" s="128"/>
      <c r="V81" s="127" t="s">
        <v>7</v>
      </c>
      <c r="W81" s="128"/>
      <c r="X81" s="127" t="s">
        <v>8</v>
      </c>
      <c r="Y81" s="128"/>
      <c r="Z81" s="127" t="s">
        <v>9</v>
      </c>
      <c r="AA81" s="128"/>
      <c r="AB81" s="127" t="s">
        <v>240</v>
      </c>
      <c r="AC81" s="128"/>
      <c r="AD81" s="127" t="s">
        <v>10</v>
      </c>
      <c r="AE81" s="128"/>
      <c r="AF81" s="127" t="s">
        <v>11</v>
      </c>
      <c r="AG81" s="128"/>
      <c r="AH81" s="127" t="s">
        <v>234</v>
      </c>
      <c r="AI81" s="128"/>
      <c r="AJ81" s="127" t="s">
        <v>12</v>
      </c>
      <c r="AK81" s="128"/>
      <c r="AL81" s="127" t="s">
        <v>235</v>
      </c>
      <c r="AM81" s="128"/>
      <c r="AN81" s="127" t="s">
        <v>293</v>
      </c>
      <c r="AO81" s="128"/>
      <c r="AP81" s="127" t="s">
        <v>236</v>
      </c>
      <c r="AQ81" s="128"/>
      <c r="AR81" s="127" t="s">
        <v>239</v>
      </c>
      <c r="AS81" s="128"/>
      <c r="AT81" s="127" t="s">
        <v>13</v>
      </c>
      <c r="AU81" s="128"/>
      <c r="AV81" s="127" t="s">
        <v>14</v>
      </c>
      <c r="AW81" s="128"/>
      <c r="AX81" s="127" t="s">
        <v>15</v>
      </c>
      <c r="AY81" s="128"/>
      <c r="AZ81" s="127" t="s">
        <v>16</v>
      </c>
      <c r="BA81" s="128"/>
      <c r="BB81" s="127" t="s">
        <v>17</v>
      </c>
      <c r="BC81" s="128"/>
      <c r="BD81" s="127" t="s">
        <v>237</v>
      </c>
      <c r="BE81" s="128"/>
      <c r="BF81" s="127" t="s">
        <v>238</v>
      </c>
      <c r="BG81" s="128"/>
      <c r="BH81" s="127" t="s">
        <v>18</v>
      </c>
      <c r="BI81" s="128"/>
      <c r="BJ81" s="127" t="s">
        <v>19</v>
      </c>
      <c r="BK81" s="128"/>
      <c r="BL81" s="129" t="s">
        <v>20</v>
      </c>
      <c r="BM81" s="130"/>
    </row>
    <row r="82" spans="1:65" ht="30" x14ac:dyDescent="0.25">
      <c r="A82" s="3"/>
      <c r="B82" s="32" t="s">
        <v>299</v>
      </c>
      <c r="C82" s="33" t="s">
        <v>298</v>
      </c>
      <c r="D82" s="32" t="s">
        <v>299</v>
      </c>
      <c r="E82" s="33" t="s">
        <v>298</v>
      </c>
      <c r="F82" s="32" t="s">
        <v>299</v>
      </c>
      <c r="G82" s="33" t="s">
        <v>298</v>
      </c>
      <c r="H82" s="32" t="s">
        <v>299</v>
      </c>
      <c r="I82" s="33" t="s">
        <v>298</v>
      </c>
      <c r="J82" s="32" t="s">
        <v>299</v>
      </c>
      <c r="K82" s="33" t="s">
        <v>298</v>
      </c>
      <c r="L82" s="32" t="s">
        <v>299</v>
      </c>
      <c r="M82" s="33" t="s">
        <v>298</v>
      </c>
      <c r="N82" s="32" t="s">
        <v>299</v>
      </c>
      <c r="O82" s="33" t="s">
        <v>298</v>
      </c>
      <c r="P82" s="32" t="s">
        <v>299</v>
      </c>
      <c r="Q82" s="33" t="s">
        <v>298</v>
      </c>
      <c r="R82" s="32" t="s">
        <v>299</v>
      </c>
      <c r="S82" s="33" t="s">
        <v>298</v>
      </c>
      <c r="T82" s="32" t="s">
        <v>299</v>
      </c>
      <c r="U82" s="33" t="s">
        <v>298</v>
      </c>
      <c r="V82" s="32" t="s">
        <v>299</v>
      </c>
      <c r="W82" s="33" t="s">
        <v>298</v>
      </c>
      <c r="X82" s="32" t="s">
        <v>299</v>
      </c>
      <c r="Y82" s="33" t="s">
        <v>298</v>
      </c>
      <c r="Z82" s="32" t="s">
        <v>299</v>
      </c>
      <c r="AA82" s="33" t="s">
        <v>298</v>
      </c>
      <c r="AB82" s="32" t="s">
        <v>299</v>
      </c>
      <c r="AC82" s="33" t="s">
        <v>298</v>
      </c>
      <c r="AD82" s="32" t="s">
        <v>299</v>
      </c>
      <c r="AE82" s="33" t="s">
        <v>298</v>
      </c>
      <c r="AF82" s="32" t="s">
        <v>299</v>
      </c>
      <c r="AG82" s="33" t="s">
        <v>298</v>
      </c>
      <c r="AH82" s="32" t="s">
        <v>299</v>
      </c>
      <c r="AI82" s="33" t="s">
        <v>298</v>
      </c>
      <c r="AJ82" s="32" t="s">
        <v>299</v>
      </c>
      <c r="AK82" s="33" t="s">
        <v>298</v>
      </c>
      <c r="AL82" s="32" t="s">
        <v>299</v>
      </c>
      <c r="AM82" s="33" t="s">
        <v>298</v>
      </c>
      <c r="AN82" s="32" t="s">
        <v>299</v>
      </c>
      <c r="AO82" s="33" t="s">
        <v>298</v>
      </c>
      <c r="AP82" s="32" t="s">
        <v>299</v>
      </c>
      <c r="AQ82" s="33" t="s">
        <v>298</v>
      </c>
      <c r="AR82" s="32" t="s">
        <v>299</v>
      </c>
      <c r="AS82" s="33" t="s">
        <v>298</v>
      </c>
      <c r="AT82" s="32" t="s">
        <v>299</v>
      </c>
      <c r="AU82" s="33" t="s">
        <v>298</v>
      </c>
      <c r="AV82" s="32" t="s">
        <v>299</v>
      </c>
      <c r="AW82" s="33" t="s">
        <v>298</v>
      </c>
      <c r="AX82" s="32" t="s">
        <v>299</v>
      </c>
      <c r="AY82" s="33" t="s">
        <v>298</v>
      </c>
      <c r="AZ82" s="32" t="s">
        <v>299</v>
      </c>
      <c r="BA82" s="33" t="s">
        <v>298</v>
      </c>
      <c r="BB82" s="32" t="s">
        <v>299</v>
      </c>
      <c r="BC82" s="33" t="s">
        <v>298</v>
      </c>
      <c r="BD82" s="32" t="s">
        <v>299</v>
      </c>
      <c r="BE82" s="33" t="s">
        <v>298</v>
      </c>
      <c r="BF82" s="32" t="s">
        <v>299</v>
      </c>
      <c r="BG82" s="33" t="s">
        <v>298</v>
      </c>
      <c r="BH82" s="32" t="s">
        <v>299</v>
      </c>
      <c r="BI82" s="33" t="s">
        <v>298</v>
      </c>
      <c r="BJ82" s="32" t="s">
        <v>299</v>
      </c>
      <c r="BK82" s="33" t="s">
        <v>298</v>
      </c>
      <c r="BL82" s="32" t="s">
        <v>299</v>
      </c>
      <c r="BM82" s="33" t="s">
        <v>298</v>
      </c>
    </row>
    <row r="83" spans="1:65" x14ac:dyDescent="0.25">
      <c r="A83" s="9" t="s">
        <v>280</v>
      </c>
      <c r="B83" s="9"/>
      <c r="C83" s="9"/>
      <c r="D83" s="9"/>
      <c r="E83" s="9"/>
      <c r="F83" s="9"/>
      <c r="G83" s="9"/>
      <c r="H83" s="9">
        <v>8</v>
      </c>
      <c r="I83" s="9">
        <v>56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>
        <v>0.02</v>
      </c>
      <c r="U83" s="9">
        <v>0.73</v>
      </c>
      <c r="V83" s="9">
        <v>62</v>
      </c>
      <c r="W83" s="9">
        <v>65</v>
      </c>
      <c r="X83" s="9">
        <v>61</v>
      </c>
      <c r="Y83" s="9">
        <v>153</v>
      </c>
      <c r="Z83" s="9"/>
      <c r="AA83" s="9"/>
      <c r="AB83" s="9"/>
      <c r="AC83" s="9"/>
      <c r="AD83" s="9"/>
      <c r="AE83" s="9"/>
      <c r="AF83" s="47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>
        <v>36</v>
      </c>
      <c r="AS83" s="9">
        <v>59</v>
      </c>
      <c r="AT83" s="9"/>
      <c r="AU83" s="9"/>
      <c r="AV83" s="9">
        <v>-1</v>
      </c>
      <c r="AW83" s="9"/>
      <c r="AX83" s="9"/>
      <c r="AY83" s="9"/>
      <c r="AZ83" s="9"/>
      <c r="BA83" s="9"/>
      <c r="BB83" s="9"/>
      <c r="BC83" s="9"/>
      <c r="BD83" s="9"/>
      <c r="BE83" s="9"/>
      <c r="BF83" s="9">
        <v>49</v>
      </c>
      <c r="BG83" s="9">
        <v>163</v>
      </c>
      <c r="BH83" s="9"/>
      <c r="BI83" s="9"/>
      <c r="BJ83" s="9"/>
      <c r="BK83" s="9"/>
      <c r="BL83" s="46">
        <f t="shared" ref="BL83:BL89" si="14">SUM(B83+D83+F83+H83+J83+L83+N83+P83+R83+T83+V83+X83+Z83+AB83+AD83+AF83+AH83+AJ83+AL83+AN83+AP83+AR83+AT83+AV83+AX83+AZ83+BB83+BD83+BF83+BH83+BJ83)</f>
        <v>215.01999999999998</v>
      </c>
      <c r="BM83" s="46">
        <f t="shared" ref="BM83:BM89" si="15">SUM(C83+E83+G83+I83+K83+M83+O83+Q83+S83+U83+W83+Y83+AA83+AC83+AE83+AG83+AI83+AK83+AM83+AO83+AQ83+AS83+AU83+AW83+AY83+BA83+BC83+BE83+BG83+BI83+BK83)</f>
        <v>496.73</v>
      </c>
    </row>
    <row r="84" spans="1:65" x14ac:dyDescent="0.25">
      <c r="A84" s="9" t="s">
        <v>281</v>
      </c>
      <c r="B84" s="9"/>
      <c r="C84" s="9"/>
      <c r="D84" s="9"/>
      <c r="E84" s="9"/>
      <c r="F84" s="9"/>
      <c r="G84" s="9"/>
      <c r="H84" s="9">
        <v>0</v>
      </c>
      <c r="I84" s="9">
        <v>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>
        <v>-0.01</v>
      </c>
      <c r="U84" s="9">
        <v>0.2</v>
      </c>
      <c r="V84" s="9"/>
      <c r="W84" s="9"/>
      <c r="X84" s="9">
        <v>3</v>
      </c>
      <c r="Y84" s="9">
        <v>14</v>
      </c>
      <c r="Z84" s="9"/>
      <c r="AA84" s="9"/>
      <c r="AB84" s="9"/>
      <c r="AC84" s="9"/>
      <c r="AD84" s="9"/>
      <c r="AE84" s="9"/>
      <c r="AF84" s="47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>
        <v>0</v>
      </c>
      <c r="AS84" s="9">
        <v>3</v>
      </c>
      <c r="AT84" s="9"/>
      <c r="AU84" s="9"/>
      <c r="AV84" s="9">
        <v>0</v>
      </c>
      <c r="AW84" s="9"/>
      <c r="AX84" s="9"/>
      <c r="AY84" s="9"/>
      <c r="AZ84" s="9"/>
      <c r="BA84" s="9"/>
      <c r="BB84" s="9"/>
      <c r="BC84" s="9"/>
      <c r="BD84" s="9"/>
      <c r="BE84" s="9"/>
      <c r="BF84" s="9">
        <v>4</v>
      </c>
      <c r="BG84" s="9">
        <v>11</v>
      </c>
      <c r="BH84" s="9"/>
      <c r="BI84" s="9"/>
      <c r="BJ84" s="9"/>
      <c r="BK84" s="9"/>
      <c r="BL84" s="46">
        <f t="shared" si="14"/>
        <v>6.99</v>
      </c>
      <c r="BM84" s="46">
        <f t="shared" si="15"/>
        <v>28.2</v>
      </c>
    </row>
    <row r="85" spans="1:65" x14ac:dyDescent="0.25">
      <c r="A85" s="9" t="s">
        <v>282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7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>
        <v>0</v>
      </c>
      <c r="BG85" s="9">
        <v>0</v>
      </c>
      <c r="BH85" s="9"/>
      <c r="BI85" s="9"/>
      <c r="BJ85" s="9"/>
      <c r="BK85" s="9"/>
      <c r="BL85" s="46">
        <f t="shared" si="14"/>
        <v>0</v>
      </c>
      <c r="BM85" s="46">
        <f t="shared" si="15"/>
        <v>0</v>
      </c>
    </row>
    <row r="86" spans="1:65" s="7" customFormat="1" x14ac:dyDescent="0.25">
      <c r="A86" s="10" t="s">
        <v>283</v>
      </c>
      <c r="B86" s="10"/>
      <c r="C86" s="10"/>
      <c r="D86" s="10"/>
      <c r="E86" s="10"/>
      <c r="F86" s="10"/>
      <c r="G86" s="10"/>
      <c r="H86" s="10">
        <v>8</v>
      </c>
      <c r="I86" s="10">
        <v>57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0</v>
      </c>
      <c r="U86" s="10">
        <v>0.93</v>
      </c>
      <c r="V86" s="10">
        <v>62</v>
      </c>
      <c r="W86" s="10">
        <v>65</v>
      </c>
      <c r="X86" s="10">
        <v>64</v>
      </c>
      <c r="Y86" s="10">
        <v>167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>
        <v>18</v>
      </c>
      <c r="AK86" s="10">
        <v>62</v>
      </c>
      <c r="AL86" s="10"/>
      <c r="AM86" s="10"/>
      <c r="AN86" s="10"/>
      <c r="AO86" s="10"/>
      <c r="AP86" s="10"/>
      <c r="AQ86" s="10"/>
      <c r="AR86" s="10">
        <v>36</v>
      </c>
      <c r="AS86" s="10">
        <v>62</v>
      </c>
      <c r="AT86" s="10"/>
      <c r="AU86" s="10"/>
      <c r="AV86" s="10">
        <v>-2</v>
      </c>
      <c r="AW86" s="10">
        <v>1</v>
      </c>
      <c r="AX86" s="10"/>
      <c r="AY86" s="10"/>
      <c r="AZ86" s="10"/>
      <c r="BA86" s="10"/>
      <c r="BB86" s="10"/>
      <c r="BC86" s="10"/>
      <c r="BD86" s="10">
        <v>126</v>
      </c>
      <c r="BE86" s="10">
        <v>238</v>
      </c>
      <c r="BF86" s="10">
        <v>53</v>
      </c>
      <c r="BG86" s="10">
        <v>174</v>
      </c>
      <c r="BH86" s="10">
        <v>28</v>
      </c>
      <c r="BI86" s="10">
        <v>117</v>
      </c>
      <c r="BJ86" s="10"/>
      <c r="BK86" s="10"/>
      <c r="BL86" s="42">
        <f t="shared" si="14"/>
        <v>393</v>
      </c>
      <c r="BM86" s="42">
        <f t="shared" si="15"/>
        <v>943.93000000000006</v>
      </c>
    </row>
    <row r="87" spans="1:65" x14ac:dyDescent="0.25">
      <c r="A87" s="9" t="s">
        <v>284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>
        <v>18</v>
      </c>
      <c r="Y87" s="9">
        <v>40</v>
      </c>
      <c r="Z87" s="9"/>
      <c r="AA87" s="9"/>
      <c r="AB87" s="9"/>
      <c r="AC87" s="9"/>
      <c r="AD87" s="9"/>
      <c r="AE87" s="9"/>
      <c r="AF87" s="47"/>
      <c r="AG87" s="9"/>
      <c r="AH87" s="9"/>
      <c r="AI87" s="9"/>
      <c r="AJ87" s="9">
        <v>204</v>
      </c>
      <c r="AK87" s="9">
        <v>399</v>
      </c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>
        <v>218</v>
      </c>
      <c r="BE87" s="9">
        <v>654</v>
      </c>
      <c r="BF87" s="9">
        <v>167</v>
      </c>
      <c r="BG87" s="9">
        <v>547</v>
      </c>
      <c r="BH87" s="9">
        <v>25</v>
      </c>
      <c r="BI87" s="9">
        <v>313</v>
      </c>
      <c r="BJ87" s="9"/>
      <c r="BK87" s="9"/>
      <c r="BL87" s="46">
        <f t="shared" si="14"/>
        <v>632</v>
      </c>
      <c r="BM87" s="46">
        <f t="shared" si="15"/>
        <v>1953</v>
      </c>
    </row>
    <row r="88" spans="1:65" x14ac:dyDescent="0.25">
      <c r="A88" s="9" t="s">
        <v>285</v>
      </c>
      <c r="B88" s="9"/>
      <c r="C88" s="9"/>
      <c r="D88" s="9"/>
      <c r="E88" s="9"/>
      <c r="F88" s="9"/>
      <c r="G88" s="9"/>
      <c r="H88" s="9">
        <v>-11</v>
      </c>
      <c r="I88" s="9">
        <v>-35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>
        <v>0.01</v>
      </c>
      <c r="U88" s="9">
        <v>1.2</v>
      </c>
      <c r="V88" s="9">
        <v>-80</v>
      </c>
      <c r="W88" s="9">
        <v>-112</v>
      </c>
      <c r="X88" s="9">
        <v>73</v>
      </c>
      <c r="Y88" s="9">
        <v>244</v>
      </c>
      <c r="Z88" s="9"/>
      <c r="AA88" s="9"/>
      <c r="AB88" s="9"/>
      <c r="AC88" s="9"/>
      <c r="AD88" s="9"/>
      <c r="AE88" s="9"/>
      <c r="AF88" s="47"/>
      <c r="AG88" s="9"/>
      <c r="AH88" s="9"/>
      <c r="AI88" s="9"/>
      <c r="AJ88" s="9">
        <v>7</v>
      </c>
      <c r="AK88" s="9">
        <v>24</v>
      </c>
      <c r="AL88" s="9"/>
      <c r="AM88" s="9"/>
      <c r="AN88" s="9"/>
      <c r="AO88" s="9"/>
      <c r="AP88" s="9"/>
      <c r="AQ88" s="9"/>
      <c r="AR88" s="9">
        <v>5</v>
      </c>
      <c r="AS88" s="9">
        <v>21</v>
      </c>
      <c r="AT88" s="9"/>
      <c r="AU88" s="9"/>
      <c r="AV88" s="9">
        <v>0</v>
      </c>
      <c r="AW88" s="9">
        <v>0</v>
      </c>
      <c r="AX88" s="9"/>
      <c r="AY88" s="9"/>
      <c r="AZ88" s="9"/>
      <c r="BA88" s="9"/>
      <c r="BB88" s="9">
        <v>22</v>
      </c>
      <c r="BC88" s="9">
        <v>65</v>
      </c>
      <c r="BD88" s="9">
        <v>140</v>
      </c>
      <c r="BE88" s="9">
        <v>518</v>
      </c>
      <c r="BF88" s="9">
        <v>79</v>
      </c>
      <c r="BG88" s="9">
        <v>250</v>
      </c>
      <c r="BH88" s="9">
        <v>16</v>
      </c>
      <c r="BI88" s="9">
        <v>150</v>
      </c>
      <c r="BJ88" s="9">
        <v>2207</v>
      </c>
      <c r="BK88" s="9">
        <v>5217</v>
      </c>
      <c r="BL88" s="46">
        <f t="shared" si="14"/>
        <v>2458.0100000000002</v>
      </c>
      <c r="BM88" s="46">
        <f t="shared" si="15"/>
        <v>6343.2</v>
      </c>
    </row>
    <row r="89" spans="1:65" s="7" customFormat="1" x14ac:dyDescent="0.25">
      <c r="A89" s="10" t="s">
        <v>190</v>
      </c>
      <c r="B89" s="10"/>
      <c r="C89" s="10"/>
      <c r="D89" s="10"/>
      <c r="E89" s="10"/>
      <c r="F89" s="10"/>
      <c r="G89" s="10"/>
      <c r="H89" s="10">
        <v>-3</v>
      </c>
      <c r="I89" s="10">
        <v>22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>
        <v>0</v>
      </c>
      <c r="U89" s="10">
        <v>-0.27</v>
      </c>
      <c r="V89" s="10">
        <v>-18</v>
      </c>
      <c r="W89" s="10">
        <v>-48</v>
      </c>
      <c r="X89" s="10">
        <v>9</v>
      </c>
      <c r="Y89" s="10">
        <v>-37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>
        <v>214</v>
      </c>
      <c r="AK89" s="10">
        <v>437</v>
      </c>
      <c r="AL89" s="10"/>
      <c r="AM89" s="10"/>
      <c r="AN89" s="10"/>
      <c r="AO89" s="10"/>
      <c r="AP89" s="10"/>
      <c r="AQ89" s="10"/>
      <c r="AR89" s="10">
        <v>31</v>
      </c>
      <c r="AS89" s="10">
        <v>40</v>
      </c>
      <c r="AT89" s="10"/>
      <c r="AU89" s="10"/>
      <c r="AV89" s="10">
        <v>-2</v>
      </c>
      <c r="AW89" s="10">
        <v>1</v>
      </c>
      <c r="AX89" s="10"/>
      <c r="AY89" s="10"/>
      <c r="AZ89" s="10"/>
      <c r="BA89" s="10"/>
      <c r="BB89" s="10">
        <v>-22</v>
      </c>
      <c r="BC89" s="10">
        <v>-65</v>
      </c>
      <c r="BD89" s="10">
        <v>204</v>
      </c>
      <c r="BE89" s="10">
        <v>374</v>
      </c>
      <c r="BF89" s="10">
        <v>141</v>
      </c>
      <c r="BG89" s="10">
        <v>471</v>
      </c>
      <c r="BH89" s="10">
        <v>38</v>
      </c>
      <c r="BI89" s="10">
        <v>280</v>
      </c>
      <c r="BJ89" s="10">
        <v>-2207</v>
      </c>
      <c r="BK89" s="10">
        <v>-5217</v>
      </c>
      <c r="BL89" s="42">
        <f t="shared" si="14"/>
        <v>-1615</v>
      </c>
      <c r="BM89" s="42">
        <f t="shared" si="15"/>
        <v>-3742.27</v>
      </c>
    </row>
    <row r="91" spans="1:65" x14ac:dyDescent="0.25">
      <c r="A91" s="17" t="s">
        <v>242</v>
      </c>
    </row>
    <row r="92" spans="1:65" x14ac:dyDescent="0.25">
      <c r="A92" s="3" t="s">
        <v>0</v>
      </c>
      <c r="B92" s="127" t="s">
        <v>1</v>
      </c>
      <c r="C92" s="128"/>
      <c r="D92" s="127" t="s">
        <v>232</v>
      </c>
      <c r="E92" s="128"/>
      <c r="F92" s="127" t="s">
        <v>2</v>
      </c>
      <c r="G92" s="128"/>
      <c r="H92" s="127" t="s">
        <v>3</v>
      </c>
      <c r="I92" s="128"/>
      <c r="J92" s="127" t="s">
        <v>241</v>
      </c>
      <c r="K92" s="128"/>
      <c r="L92" s="127" t="s">
        <v>233</v>
      </c>
      <c r="M92" s="128"/>
      <c r="N92" s="127" t="s">
        <v>244</v>
      </c>
      <c r="O92" s="128"/>
      <c r="P92" s="127" t="s">
        <v>5</v>
      </c>
      <c r="Q92" s="128"/>
      <c r="R92" s="127" t="s">
        <v>4</v>
      </c>
      <c r="S92" s="128"/>
      <c r="T92" s="127" t="s">
        <v>6</v>
      </c>
      <c r="U92" s="128"/>
      <c r="V92" s="127" t="s">
        <v>7</v>
      </c>
      <c r="W92" s="128"/>
      <c r="X92" s="127" t="s">
        <v>8</v>
      </c>
      <c r="Y92" s="128"/>
      <c r="Z92" s="127" t="s">
        <v>9</v>
      </c>
      <c r="AA92" s="128"/>
      <c r="AB92" s="127" t="s">
        <v>240</v>
      </c>
      <c r="AC92" s="128"/>
      <c r="AD92" s="127" t="s">
        <v>10</v>
      </c>
      <c r="AE92" s="128"/>
      <c r="AF92" s="127" t="s">
        <v>11</v>
      </c>
      <c r="AG92" s="128"/>
      <c r="AH92" s="127" t="s">
        <v>234</v>
      </c>
      <c r="AI92" s="128"/>
      <c r="AJ92" s="127" t="s">
        <v>12</v>
      </c>
      <c r="AK92" s="128"/>
      <c r="AL92" s="127" t="s">
        <v>235</v>
      </c>
      <c r="AM92" s="128"/>
      <c r="AN92" s="127" t="s">
        <v>293</v>
      </c>
      <c r="AO92" s="128"/>
      <c r="AP92" s="127" t="s">
        <v>236</v>
      </c>
      <c r="AQ92" s="128"/>
      <c r="AR92" s="127" t="s">
        <v>239</v>
      </c>
      <c r="AS92" s="128"/>
      <c r="AT92" s="127" t="s">
        <v>13</v>
      </c>
      <c r="AU92" s="128"/>
      <c r="AV92" s="127" t="s">
        <v>14</v>
      </c>
      <c r="AW92" s="128"/>
      <c r="AX92" s="127" t="s">
        <v>15</v>
      </c>
      <c r="AY92" s="128"/>
      <c r="AZ92" s="127" t="s">
        <v>16</v>
      </c>
      <c r="BA92" s="128"/>
      <c r="BB92" s="127" t="s">
        <v>17</v>
      </c>
      <c r="BC92" s="128"/>
      <c r="BD92" s="127" t="s">
        <v>237</v>
      </c>
      <c r="BE92" s="128"/>
      <c r="BF92" s="127" t="s">
        <v>238</v>
      </c>
      <c r="BG92" s="128"/>
      <c r="BH92" s="127" t="s">
        <v>18</v>
      </c>
      <c r="BI92" s="128"/>
      <c r="BJ92" s="127" t="s">
        <v>19</v>
      </c>
      <c r="BK92" s="128"/>
      <c r="BL92" s="129" t="s">
        <v>20</v>
      </c>
      <c r="BM92" s="130"/>
    </row>
    <row r="93" spans="1:65" ht="30" x14ac:dyDescent="0.25">
      <c r="A93" s="3"/>
      <c r="B93" s="32" t="s">
        <v>299</v>
      </c>
      <c r="C93" s="33" t="s">
        <v>298</v>
      </c>
      <c r="D93" s="32" t="s">
        <v>299</v>
      </c>
      <c r="E93" s="33" t="s">
        <v>298</v>
      </c>
      <c r="F93" s="32" t="s">
        <v>299</v>
      </c>
      <c r="G93" s="33" t="s">
        <v>298</v>
      </c>
      <c r="H93" s="32" t="s">
        <v>299</v>
      </c>
      <c r="I93" s="33" t="s">
        <v>298</v>
      </c>
      <c r="J93" s="32" t="s">
        <v>299</v>
      </c>
      <c r="K93" s="33" t="s">
        <v>298</v>
      </c>
      <c r="L93" s="32" t="s">
        <v>299</v>
      </c>
      <c r="M93" s="33" t="s">
        <v>298</v>
      </c>
      <c r="N93" s="32" t="s">
        <v>299</v>
      </c>
      <c r="O93" s="33" t="s">
        <v>298</v>
      </c>
      <c r="P93" s="32" t="s">
        <v>299</v>
      </c>
      <c r="Q93" s="33" t="s">
        <v>298</v>
      </c>
      <c r="R93" s="32" t="s">
        <v>299</v>
      </c>
      <c r="S93" s="33" t="s">
        <v>298</v>
      </c>
      <c r="T93" s="32" t="s">
        <v>299</v>
      </c>
      <c r="U93" s="33" t="s">
        <v>298</v>
      </c>
      <c r="V93" s="32" t="s">
        <v>299</v>
      </c>
      <c r="W93" s="33" t="s">
        <v>298</v>
      </c>
      <c r="X93" s="32" t="s">
        <v>299</v>
      </c>
      <c r="Y93" s="33" t="s">
        <v>298</v>
      </c>
      <c r="Z93" s="32" t="s">
        <v>299</v>
      </c>
      <c r="AA93" s="33" t="s">
        <v>298</v>
      </c>
      <c r="AB93" s="32" t="s">
        <v>299</v>
      </c>
      <c r="AC93" s="33" t="s">
        <v>298</v>
      </c>
      <c r="AD93" s="32" t="s">
        <v>299</v>
      </c>
      <c r="AE93" s="33" t="s">
        <v>298</v>
      </c>
      <c r="AF93" s="32" t="s">
        <v>299</v>
      </c>
      <c r="AG93" s="33" t="s">
        <v>298</v>
      </c>
      <c r="AH93" s="32" t="s">
        <v>299</v>
      </c>
      <c r="AI93" s="33" t="s">
        <v>298</v>
      </c>
      <c r="AJ93" s="32" t="s">
        <v>299</v>
      </c>
      <c r="AK93" s="33" t="s">
        <v>298</v>
      </c>
      <c r="AL93" s="32" t="s">
        <v>299</v>
      </c>
      <c r="AM93" s="33" t="s">
        <v>298</v>
      </c>
      <c r="AN93" s="32" t="s">
        <v>299</v>
      </c>
      <c r="AO93" s="33" t="s">
        <v>298</v>
      </c>
      <c r="AP93" s="32" t="s">
        <v>299</v>
      </c>
      <c r="AQ93" s="33" t="s">
        <v>298</v>
      </c>
      <c r="AR93" s="32" t="s">
        <v>299</v>
      </c>
      <c r="AS93" s="33" t="s">
        <v>298</v>
      </c>
      <c r="AT93" s="32" t="s">
        <v>299</v>
      </c>
      <c r="AU93" s="33" t="s">
        <v>298</v>
      </c>
      <c r="AV93" s="32" t="s">
        <v>299</v>
      </c>
      <c r="AW93" s="33" t="s">
        <v>298</v>
      </c>
      <c r="AX93" s="32" t="s">
        <v>299</v>
      </c>
      <c r="AY93" s="33" t="s">
        <v>298</v>
      </c>
      <c r="AZ93" s="32" t="s">
        <v>299</v>
      </c>
      <c r="BA93" s="33" t="s">
        <v>298</v>
      </c>
      <c r="BB93" s="32" t="s">
        <v>299</v>
      </c>
      <c r="BC93" s="33" t="s">
        <v>298</v>
      </c>
      <c r="BD93" s="32" t="s">
        <v>299</v>
      </c>
      <c r="BE93" s="33" t="s">
        <v>298</v>
      </c>
      <c r="BF93" s="32" t="s">
        <v>299</v>
      </c>
      <c r="BG93" s="33" t="s">
        <v>298</v>
      </c>
      <c r="BH93" s="32" t="s">
        <v>299</v>
      </c>
      <c r="BI93" s="33" t="s">
        <v>298</v>
      </c>
      <c r="BJ93" s="32" t="s">
        <v>299</v>
      </c>
      <c r="BK93" s="33" t="s">
        <v>298</v>
      </c>
      <c r="BL93" s="32" t="s">
        <v>299</v>
      </c>
      <c r="BM93" s="33" t="s">
        <v>298</v>
      </c>
    </row>
    <row r="94" spans="1:65" x14ac:dyDescent="0.25">
      <c r="A94" s="9" t="s">
        <v>280</v>
      </c>
      <c r="B94" s="9"/>
      <c r="C94" s="9"/>
      <c r="D94" s="9"/>
      <c r="E94" s="9"/>
      <c r="F94" s="9">
        <v>1965</v>
      </c>
      <c r="G94" s="9">
        <v>6016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>
        <v>6.35</v>
      </c>
      <c r="V94" s="9">
        <v>125</v>
      </c>
      <c r="W94" s="9">
        <v>135</v>
      </c>
      <c r="X94" s="9">
        <v>27</v>
      </c>
      <c r="Y94" s="9">
        <v>56</v>
      </c>
      <c r="Z94" s="9"/>
      <c r="AA94" s="9"/>
      <c r="AB94" s="9"/>
      <c r="AC94" s="9"/>
      <c r="AD94" s="9"/>
      <c r="AE94" s="9"/>
      <c r="AF94" s="10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>
        <v>2</v>
      </c>
      <c r="AW94" s="9">
        <v>4</v>
      </c>
      <c r="AX94" s="9"/>
      <c r="AY94" s="9"/>
      <c r="AZ94" s="9"/>
      <c r="BA94" s="9"/>
      <c r="BB94" s="9">
        <v>8</v>
      </c>
      <c r="BC94" s="9">
        <v>8</v>
      </c>
      <c r="BD94" s="9"/>
      <c r="BE94" s="9"/>
      <c r="BF94" s="9"/>
      <c r="BG94" s="9">
        <v>-106</v>
      </c>
      <c r="BH94" s="9"/>
      <c r="BI94" s="9"/>
      <c r="BJ94" s="9"/>
      <c r="BK94" s="9"/>
      <c r="BL94" s="46">
        <f t="shared" ref="BL94:BL100" si="16">SUM(B94+D94+F94+H94+J94+L94+N94+P94+R94+T94+V94+X94+Z94+AB94+AD94+AF94+AH94+AJ94+AL94+AN94+AP94+AR94+AT94+AV94+AX94+AZ94+BB94+BD94+BF94+BH94+BJ94)</f>
        <v>2127</v>
      </c>
      <c r="BM94" s="46">
        <f t="shared" ref="BM94:BM100" si="17">SUM(C94+E94+G94+I94+K94+M94+O94+Q94+S94+U94+W94+Y94+AA94+AC94+AE94+AG94+AI94+AK94+AM94+AO94+AQ94+AS94+AU94+AW94+AY94+BA94+BC94+BE94+BG94+BI94+BK94)</f>
        <v>6119.35</v>
      </c>
    </row>
    <row r="95" spans="1:65" x14ac:dyDescent="0.25">
      <c r="A95" s="9" t="s">
        <v>281</v>
      </c>
      <c r="B95" s="9"/>
      <c r="C95" s="9"/>
      <c r="D95" s="9"/>
      <c r="E95" s="9"/>
      <c r="F95" s="9">
        <v>0</v>
      </c>
      <c r="G95" s="9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>
        <v>8</v>
      </c>
      <c r="Y95" s="9">
        <v>16</v>
      </c>
      <c r="Z95" s="9"/>
      <c r="AA95" s="9"/>
      <c r="AB95" s="9"/>
      <c r="AC95" s="9"/>
      <c r="AD95" s="9"/>
      <c r="AE95" s="9"/>
      <c r="AF95" s="10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>
        <v>1</v>
      </c>
      <c r="AW95" s="9">
        <v>1</v>
      </c>
      <c r="AX95" s="9"/>
      <c r="AY95" s="9"/>
      <c r="AZ95" s="9"/>
      <c r="BA95" s="9"/>
      <c r="BB95" s="9"/>
      <c r="BC95" s="9"/>
      <c r="BD95" s="9"/>
      <c r="BE95" s="9"/>
      <c r="BF95" s="9"/>
      <c r="BG95" s="9">
        <v>0</v>
      </c>
      <c r="BH95" s="9"/>
      <c r="BI95" s="9"/>
      <c r="BJ95" s="9"/>
      <c r="BK95" s="9"/>
      <c r="BL95" s="46">
        <f t="shared" si="16"/>
        <v>9</v>
      </c>
      <c r="BM95" s="46">
        <f t="shared" si="17"/>
        <v>17</v>
      </c>
    </row>
    <row r="96" spans="1:65" x14ac:dyDescent="0.25">
      <c r="A96" s="9" t="s">
        <v>282</v>
      </c>
      <c r="B96" s="9"/>
      <c r="C96" s="9"/>
      <c r="D96" s="9"/>
      <c r="E96" s="9"/>
      <c r="F96" s="9">
        <v>0</v>
      </c>
      <c r="G96" s="9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10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>
        <v>0</v>
      </c>
      <c r="BH96" s="9"/>
      <c r="BI96" s="9"/>
      <c r="BJ96" s="9"/>
      <c r="BK96" s="9"/>
      <c r="BL96" s="46">
        <f t="shared" si="16"/>
        <v>0</v>
      </c>
      <c r="BM96" s="46">
        <f t="shared" si="17"/>
        <v>0</v>
      </c>
    </row>
    <row r="97" spans="1:65" s="7" customFormat="1" x14ac:dyDescent="0.25">
      <c r="A97" s="10" t="s">
        <v>283</v>
      </c>
      <c r="B97" s="10"/>
      <c r="C97" s="10"/>
      <c r="D97" s="10"/>
      <c r="E97" s="10"/>
      <c r="F97" s="10">
        <v>1965</v>
      </c>
      <c r="G97" s="10">
        <v>6016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>
        <v>6.35</v>
      </c>
      <c r="V97" s="10">
        <v>125</v>
      </c>
      <c r="W97" s="10">
        <v>135</v>
      </c>
      <c r="X97" s="10">
        <v>35</v>
      </c>
      <c r="Y97" s="10">
        <v>72</v>
      </c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>
        <v>137</v>
      </c>
      <c r="AK97" s="10">
        <v>442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>
        <v>2</v>
      </c>
      <c r="AW97" s="10">
        <v>5</v>
      </c>
      <c r="AX97" s="10"/>
      <c r="AY97" s="10"/>
      <c r="AZ97" s="10"/>
      <c r="BA97" s="10"/>
      <c r="BB97" s="10">
        <v>8</v>
      </c>
      <c r="BC97" s="10">
        <v>8</v>
      </c>
      <c r="BD97" s="10">
        <v>-6</v>
      </c>
      <c r="BE97" s="10">
        <v>-6</v>
      </c>
      <c r="BF97" s="10"/>
      <c r="BG97" s="10">
        <v>-106</v>
      </c>
      <c r="BH97" s="10"/>
      <c r="BI97" s="10">
        <v>-4</v>
      </c>
      <c r="BJ97" s="10"/>
      <c r="BK97" s="10"/>
      <c r="BL97" s="42">
        <f t="shared" si="16"/>
        <v>2266</v>
      </c>
      <c r="BM97" s="42">
        <f t="shared" si="17"/>
        <v>6568.35</v>
      </c>
    </row>
    <row r="98" spans="1:65" x14ac:dyDescent="0.25">
      <c r="A98" s="9" t="s">
        <v>284</v>
      </c>
      <c r="B98" s="9"/>
      <c r="C98" s="9"/>
      <c r="D98" s="9"/>
      <c r="E98" s="9"/>
      <c r="F98" s="9">
        <v>1</v>
      </c>
      <c r="G98" s="9">
        <v>7</v>
      </c>
      <c r="H98" s="9"/>
      <c r="I98" s="9"/>
      <c r="J98" s="9"/>
      <c r="K98" s="9"/>
      <c r="L98" s="9"/>
      <c r="M98" s="9"/>
      <c r="N98" s="9">
        <v>137</v>
      </c>
      <c r="O98" s="9">
        <v>289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10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>
        <v>0</v>
      </c>
      <c r="BE98" s="9">
        <v>0</v>
      </c>
      <c r="BF98" s="9"/>
      <c r="BG98" s="9">
        <v>0</v>
      </c>
      <c r="BH98" s="9"/>
      <c r="BI98" s="9"/>
      <c r="BJ98" s="9"/>
      <c r="BK98" s="9"/>
      <c r="BL98" s="46">
        <f t="shared" si="16"/>
        <v>138</v>
      </c>
      <c r="BM98" s="46">
        <f t="shared" si="17"/>
        <v>296</v>
      </c>
    </row>
    <row r="99" spans="1:65" x14ac:dyDescent="0.25">
      <c r="A99" s="9" t="s">
        <v>285</v>
      </c>
      <c r="B99" s="9"/>
      <c r="C99" s="9"/>
      <c r="D99" s="9"/>
      <c r="E99" s="9"/>
      <c r="F99" s="9">
        <v>2188</v>
      </c>
      <c r="G99" s="9">
        <v>10922</v>
      </c>
      <c r="H99" s="9">
        <v>-3751</v>
      </c>
      <c r="I99" s="9">
        <v>-11667</v>
      </c>
      <c r="J99" s="9"/>
      <c r="K99" s="9"/>
      <c r="L99" s="9"/>
      <c r="M99" s="9"/>
      <c r="N99" s="9">
        <v>-20</v>
      </c>
      <c r="O99" s="9">
        <v>-42</v>
      </c>
      <c r="P99" s="9"/>
      <c r="Q99" s="9"/>
      <c r="R99" s="9"/>
      <c r="S99" s="9"/>
      <c r="T99" s="9">
        <v>1499.37</v>
      </c>
      <c r="U99" s="9">
        <v>4304.42</v>
      </c>
      <c r="V99" s="9">
        <v>-2504</v>
      </c>
      <c r="W99" s="9">
        <v>-9221</v>
      </c>
      <c r="X99" s="9">
        <v>1304</v>
      </c>
      <c r="Y99" s="9">
        <v>4566</v>
      </c>
      <c r="Z99" s="9">
        <v>1659</v>
      </c>
      <c r="AA99" s="9">
        <v>2515</v>
      </c>
      <c r="AB99" s="9"/>
      <c r="AC99" s="9"/>
      <c r="AD99" s="9"/>
      <c r="AE99" s="9"/>
      <c r="AF99" s="10"/>
      <c r="AG99" s="9"/>
      <c r="AH99" s="9"/>
      <c r="AI99" s="9"/>
      <c r="AJ99" s="9">
        <v>39</v>
      </c>
      <c r="AK99" s="9">
        <v>669</v>
      </c>
      <c r="AL99" s="9"/>
      <c r="AM99" s="9"/>
      <c r="AN99" s="9"/>
      <c r="AO99" s="9"/>
      <c r="AP99" s="9"/>
      <c r="AQ99" s="9"/>
      <c r="AR99" s="9">
        <v>3474</v>
      </c>
      <c r="AS99" s="9">
        <v>12897</v>
      </c>
      <c r="AT99" s="9"/>
      <c r="AU99" s="9"/>
      <c r="AV99" s="9">
        <v>214</v>
      </c>
      <c r="AW99" s="9">
        <v>4806</v>
      </c>
      <c r="AX99" s="9"/>
      <c r="AY99" s="9"/>
      <c r="AZ99" s="9"/>
      <c r="BA99" s="9"/>
      <c r="BB99" s="9">
        <v>-19</v>
      </c>
      <c r="BC99" s="9">
        <v>-7</v>
      </c>
      <c r="BD99" s="9">
        <v>100</v>
      </c>
      <c r="BE99" s="9">
        <v>150</v>
      </c>
      <c r="BF99" s="9">
        <v>2</v>
      </c>
      <c r="BG99" s="9">
        <v>2</v>
      </c>
      <c r="BH99" s="9">
        <v>413</v>
      </c>
      <c r="BI99" s="9">
        <v>498</v>
      </c>
      <c r="BJ99" s="9"/>
      <c r="BK99" s="9"/>
      <c r="BL99" s="46">
        <f t="shared" si="16"/>
        <v>4598.37</v>
      </c>
      <c r="BM99" s="46">
        <f t="shared" si="17"/>
        <v>20392.419999999998</v>
      </c>
    </row>
    <row r="100" spans="1:65" s="7" customFormat="1" x14ac:dyDescent="0.25">
      <c r="A100" s="10" t="s">
        <v>190</v>
      </c>
      <c r="B100" s="10"/>
      <c r="C100" s="10"/>
      <c r="D100" s="10"/>
      <c r="E100" s="10"/>
      <c r="F100" s="10">
        <v>-222</v>
      </c>
      <c r="G100" s="10">
        <v>-4899</v>
      </c>
      <c r="H100" s="10">
        <v>-3751</v>
      </c>
      <c r="I100" s="10">
        <v>-11665</v>
      </c>
      <c r="J100" s="10"/>
      <c r="K100" s="10"/>
      <c r="L100" s="10"/>
      <c r="M100" s="10"/>
      <c r="N100" s="10">
        <v>117</v>
      </c>
      <c r="O100" s="10">
        <v>247</v>
      </c>
      <c r="P100" s="10"/>
      <c r="Q100" s="10"/>
      <c r="R100" s="10"/>
      <c r="S100" s="10"/>
      <c r="T100" s="10">
        <v>-1499.37</v>
      </c>
      <c r="U100" s="10">
        <v>-4298.07</v>
      </c>
      <c r="V100" s="10">
        <v>-2379</v>
      </c>
      <c r="W100" s="10">
        <v>-9086</v>
      </c>
      <c r="X100" s="10">
        <v>-1269</v>
      </c>
      <c r="Y100" s="10">
        <v>-4494</v>
      </c>
      <c r="Z100" s="10">
        <v>-1659</v>
      </c>
      <c r="AA100" s="10">
        <v>-2515</v>
      </c>
      <c r="AB100" s="10"/>
      <c r="AC100" s="10"/>
      <c r="AD100" s="10"/>
      <c r="AE100" s="10"/>
      <c r="AF100" s="10"/>
      <c r="AG100" s="10"/>
      <c r="AH100" s="10"/>
      <c r="AI100" s="10"/>
      <c r="AJ100" s="10">
        <v>98</v>
      </c>
      <c r="AK100" s="10">
        <v>-227</v>
      </c>
      <c r="AL100" s="10"/>
      <c r="AM100" s="10"/>
      <c r="AN100" s="10"/>
      <c r="AO100" s="10"/>
      <c r="AP100" s="10"/>
      <c r="AQ100" s="10"/>
      <c r="AR100" s="10">
        <v>-3474</v>
      </c>
      <c r="AS100" s="10">
        <v>-12897</v>
      </c>
      <c r="AT100" s="10"/>
      <c r="AU100" s="10"/>
      <c r="AV100" s="10">
        <v>-212</v>
      </c>
      <c r="AW100" s="10">
        <v>-4801</v>
      </c>
      <c r="AX100" s="10"/>
      <c r="AY100" s="10"/>
      <c r="AZ100" s="10"/>
      <c r="BA100" s="10"/>
      <c r="BB100" s="10">
        <v>27</v>
      </c>
      <c r="BC100" s="10">
        <v>15</v>
      </c>
      <c r="BD100" s="10">
        <v>-106</v>
      </c>
      <c r="BE100" s="10">
        <v>-156</v>
      </c>
      <c r="BF100" s="10">
        <v>-2</v>
      </c>
      <c r="BG100" s="10">
        <v>-108</v>
      </c>
      <c r="BH100" s="10">
        <v>-413</v>
      </c>
      <c r="BI100" s="10">
        <v>-503</v>
      </c>
      <c r="BJ100" s="10"/>
      <c r="BK100" s="10"/>
      <c r="BL100" s="42">
        <f t="shared" si="16"/>
        <v>-14744.369999999999</v>
      </c>
      <c r="BM100" s="42">
        <f t="shared" si="17"/>
        <v>-55387.07</v>
      </c>
    </row>
    <row r="102" spans="1:65" x14ac:dyDescent="0.25">
      <c r="A102" s="17" t="s">
        <v>189</v>
      </c>
    </row>
    <row r="103" spans="1:65" x14ac:dyDescent="0.25">
      <c r="A103" s="3" t="s">
        <v>0</v>
      </c>
      <c r="B103" s="127" t="s">
        <v>1</v>
      </c>
      <c r="C103" s="128"/>
      <c r="D103" s="127" t="s">
        <v>232</v>
      </c>
      <c r="E103" s="128"/>
      <c r="F103" s="127" t="s">
        <v>2</v>
      </c>
      <c r="G103" s="128"/>
      <c r="H103" s="127" t="s">
        <v>3</v>
      </c>
      <c r="I103" s="128"/>
      <c r="J103" s="127" t="s">
        <v>241</v>
      </c>
      <c r="K103" s="128"/>
      <c r="L103" s="127" t="s">
        <v>233</v>
      </c>
      <c r="M103" s="128"/>
      <c r="N103" s="127" t="s">
        <v>244</v>
      </c>
      <c r="O103" s="128"/>
      <c r="P103" s="127" t="s">
        <v>5</v>
      </c>
      <c r="Q103" s="128"/>
      <c r="R103" s="127" t="s">
        <v>4</v>
      </c>
      <c r="S103" s="128"/>
      <c r="T103" s="127" t="s">
        <v>6</v>
      </c>
      <c r="U103" s="128"/>
      <c r="V103" s="127" t="s">
        <v>7</v>
      </c>
      <c r="W103" s="128"/>
      <c r="X103" s="127" t="s">
        <v>8</v>
      </c>
      <c r="Y103" s="128"/>
      <c r="Z103" s="127" t="s">
        <v>9</v>
      </c>
      <c r="AA103" s="128"/>
      <c r="AB103" s="127" t="s">
        <v>240</v>
      </c>
      <c r="AC103" s="128"/>
      <c r="AD103" s="127" t="s">
        <v>10</v>
      </c>
      <c r="AE103" s="128"/>
      <c r="AF103" s="127" t="s">
        <v>11</v>
      </c>
      <c r="AG103" s="128"/>
      <c r="AH103" s="127" t="s">
        <v>234</v>
      </c>
      <c r="AI103" s="128"/>
      <c r="AJ103" s="127" t="s">
        <v>12</v>
      </c>
      <c r="AK103" s="128"/>
      <c r="AL103" s="127" t="s">
        <v>235</v>
      </c>
      <c r="AM103" s="128"/>
      <c r="AN103" s="127" t="s">
        <v>293</v>
      </c>
      <c r="AO103" s="128"/>
      <c r="AP103" s="127" t="s">
        <v>236</v>
      </c>
      <c r="AQ103" s="128"/>
      <c r="AR103" s="127" t="s">
        <v>239</v>
      </c>
      <c r="AS103" s="128"/>
      <c r="AT103" s="127" t="s">
        <v>13</v>
      </c>
      <c r="AU103" s="128"/>
      <c r="AV103" s="127" t="s">
        <v>14</v>
      </c>
      <c r="AW103" s="128"/>
      <c r="AX103" s="127" t="s">
        <v>15</v>
      </c>
      <c r="AY103" s="128"/>
      <c r="AZ103" s="127" t="s">
        <v>16</v>
      </c>
      <c r="BA103" s="128"/>
      <c r="BB103" s="127" t="s">
        <v>17</v>
      </c>
      <c r="BC103" s="128"/>
      <c r="BD103" s="127" t="s">
        <v>237</v>
      </c>
      <c r="BE103" s="128"/>
      <c r="BF103" s="127" t="s">
        <v>238</v>
      </c>
      <c r="BG103" s="128"/>
      <c r="BH103" s="127" t="s">
        <v>18</v>
      </c>
      <c r="BI103" s="128"/>
      <c r="BJ103" s="127" t="s">
        <v>19</v>
      </c>
      <c r="BK103" s="128"/>
      <c r="BL103" s="129" t="s">
        <v>20</v>
      </c>
      <c r="BM103" s="130"/>
    </row>
    <row r="104" spans="1:65" ht="30" x14ac:dyDescent="0.25">
      <c r="A104" s="3"/>
      <c r="B104" s="32" t="s">
        <v>299</v>
      </c>
      <c r="C104" s="33" t="s">
        <v>298</v>
      </c>
      <c r="D104" s="32" t="s">
        <v>299</v>
      </c>
      <c r="E104" s="33" t="s">
        <v>298</v>
      </c>
      <c r="F104" s="32" t="s">
        <v>299</v>
      </c>
      <c r="G104" s="33" t="s">
        <v>298</v>
      </c>
      <c r="H104" s="32" t="s">
        <v>299</v>
      </c>
      <c r="I104" s="33" t="s">
        <v>298</v>
      </c>
      <c r="J104" s="32" t="s">
        <v>299</v>
      </c>
      <c r="K104" s="33" t="s">
        <v>298</v>
      </c>
      <c r="L104" s="32" t="s">
        <v>299</v>
      </c>
      <c r="M104" s="33" t="s">
        <v>298</v>
      </c>
      <c r="N104" s="32" t="s">
        <v>299</v>
      </c>
      <c r="O104" s="33" t="s">
        <v>298</v>
      </c>
      <c r="P104" s="32" t="s">
        <v>299</v>
      </c>
      <c r="Q104" s="33" t="s">
        <v>298</v>
      </c>
      <c r="R104" s="32" t="s">
        <v>299</v>
      </c>
      <c r="S104" s="33" t="s">
        <v>298</v>
      </c>
      <c r="T104" s="32" t="s">
        <v>299</v>
      </c>
      <c r="U104" s="33" t="s">
        <v>298</v>
      </c>
      <c r="V104" s="32" t="s">
        <v>299</v>
      </c>
      <c r="W104" s="33" t="s">
        <v>298</v>
      </c>
      <c r="X104" s="32" t="s">
        <v>299</v>
      </c>
      <c r="Y104" s="33" t="s">
        <v>298</v>
      </c>
      <c r="Z104" s="32" t="s">
        <v>299</v>
      </c>
      <c r="AA104" s="33" t="s">
        <v>298</v>
      </c>
      <c r="AB104" s="32" t="s">
        <v>299</v>
      </c>
      <c r="AC104" s="33" t="s">
        <v>298</v>
      </c>
      <c r="AD104" s="32" t="s">
        <v>299</v>
      </c>
      <c r="AE104" s="33" t="s">
        <v>298</v>
      </c>
      <c r="AF104" s="32" t="s">
        <v>299</v>
      </c>
      <c r="AG104" s="33" t="s">
        <v>298</v>
      </c>
      <c r="AH104" s="32" t="s">
        <v>299</v>
      </c>
      <c r="AI104" s="33" t="s">
        <v>298</v>
      </c>
      <c r="AJ104" s="32" t="s">
        <v>299</v>
      </c>
      <c r="AK104" s="33" t="s">
        <v>298</v>
      </c>
      <c r="AL104" s="32" t="s">
        <v>299</v>
      </c>
      <c r="AM104" s="33" t="s">
        <v>298</v>
      </c>
      <c r="AN104" s="32" t="s">
        <v>299</v>
      </c>
      <c r="AO104" s="33" t="s">
        <v>298</v>
      </c>
      <c r="AP104" s="32" t="s">
        <v>299</v>
      </c>
      <c r="AQ104" s="33" t="s">
        <v>298</v>
      </c>
      <c r="AR104" s="32" t="s">
        <v>299</v>
      </c>
      <c r="AS104" s="33" t="s">
        <v>298</v>
      </c>
      <c r="AT104" s="32" t="s">
        <v>299</v>
      </c>
      <c r="AU104" s="33" t="s">
        <v>298</v>
      </c>
      <c r="AV104" s="32" t="s">
        <v>299</v>
      </c>
      <c r="AW104" s="33" t="s">
        <v>298</v>
      </c>
      <c r="AX104" s="32" t="s">
        <v>299</v>
      </c>
      <c r="AY104" s="33" t="s">
        <v>298</v>
      </c>
      <c r="AZ104" s="32" t="s">
        <v>299</v>
      </c>
      <c r="BA104" s="33" t="s">
        <v>298</v>
      </c>
      <c r="BB104" s="32" t="s">
        <v>299</v>
      </c>
      <c r="BC104" s="33" t="s">
        <v>298</v>
      </c>
      <c r="BD104" s="32" t="s">
        <v>299</v>
      </c>
      <c r="BE104" s="33" t="s">
        <v>298</v>
      </c>
      <c r="BF104" s="32" t="s">
        <v>299</v>
      </c>
      <c r="BG104" s="33" t="s">
        <v>298</v>
      </c>
      <c r="BH104" s="32" t="s">
        <v>299</v>
      </c>
      <c r="BI104" s="33" t="s">
        <v>298</v>
      </c>
      <c r="BJ104" s="32" t="s">
        <v>299</v>
      </c>
      <c r="BK104" s="33" t="s">
        <v>298</v>
      </c>
      <c r="BL104" s="32" t="s">
        <v>299</v>
      </c>
      <c r="BM104" s="33" t="s">
        <v>298</v>
      </c>
    </row>
    <row r="105" spans="1:65" x14ac:dyDescent="0.25">
      <c r="A105" s="9" t="s">
        <v>280</v>
      </c>
      <c r="B105" s="9">
        <f>B116-B94-B83-B72-B61-B50-B39-B28-B17-B6</f>
        <v>1</v>
      </c>
      <c r="C105" s="9">
        <f t="shared" ref="C105:BK105" si="18">C116-C94-C83-C72-C61-C50-C39-C28-C17-C6</f>
        <v>4</v>
      </c>
      <c r="D105" s="9">
        <f t="shared" si="18"/>
        <v>3</v>
      </c>
      <c r="E105" s="9">
        <f t="shared" si="18"/>
        <v>17</v>
      </c>
      <c r="F105" s="9">
        <f t="shared" si="18"/>
        <v>0</v>
      </c>
      <c r="G105" s="9">
        <f t="shared" si="18"/>
        <v>0</v>
      </c>
      <c r="H105" s="9">
        <f t="shared" si="18"/>
        <v>2672</v>
      </c>
      <c r="I105" s="9">
        <f t="shared" si="18"/>
        <v>7535</v>
      </c>
      <c r="J105" s="9">
        <f t="shared" si="18"/>
        <v>279</v>
      </c>
      <c r="K105" s="9">
        <f t="shared" si="18"/>
        <v>1155</v>
      </c>
      <c r="L105" s="9">
        <f t="shared" si="18"/>
        <v>308</v>
      </c>
      <c r="M105" s="9">
        <f t="shared" si="18"/>
        <v>858</v>
      </c>
      <c r="N105" s="9">
        <f t="shared" si="18"/>
        <v>473</v>
      </c>
      <c r="O105" s="9">
        <f t="shared" si="18"/>
        <v>3570</v>
      </c>
      <c r="P105" s="9">
        <f t="shared" si="18"/>
        <v>649.96</v>
      </c>
      <c r="Q105" s="9">
        <f t="shared" ref="Q105" si="19">Q116-Q94-Q83-Q72-Q61-Q50-Q39-Q28-Q17-Q6</f>
        <v>1501.76</v>
      </c>
      <c r="R105" s="9">
        <f t="shared" si="18"/>
        <v>92.129999999999967</v>
      </c>
      <c r="S105" s="9">
        <f t="shared" si="18"/>
        <v>261.56000000000017</v>
      </c>
      <c r="T105" s="9">
        <f t="shared" si="18"/>
        <v>878.60999999999899</v>
      </c>
      <c r="U105" s="9">
        <f t="shared" si="18"/>
        <v>2509.02</v>
      </c>
      <c r="V105" s="9">
        <f t="shared" si="18"/>
        <v>1737</v>
      </c>
      <c r="W105" s="9">
        <f t="shared" si="18"/>
        <v>5468</v>
      </c>
      <c r="X105" s="9">
        <f t="shared" si="18"/>
        <v>2862</v>
      </c>
      <c r="Y105" s="9">
        <f t="shared" si="18"/>
        <v>8109</v>
      </c>
      <c r="Z105" s="9">
        <f t="shared" si="18"/>
        <v>2300</v>
      </c>
      <c r="AA105" s="9">
        <f t="shared" si="18"/>
        <v>6686</v>
      </c>
      <c r="AB105" s="9">
        <f t="shared" si="18"/>
        <v>101</v>
      </c>
      <c r="AC105" s="9">
        <f t="shared" si="18"/>
        <v>217</v>
      </c>
      <c r="AD105" s="9">
        <f t="shared" si="18"/>
        <v>185</v>
      </c>
      <c r="AE105" s="9">
        <f t="shared" si="18"/>
        <v>646</v>
      </c>
      <c r="AF105" s="9">
        <f t="shared" si="18"/>
        <v>24</v>
      </c>
      <c r="AG105" s="9">
        <f t="shared" si="18"/>
        <v>53</v>
      </c>
      <c r="AH105" s="9">
        <f t="shared" si="18"/>
        <v>3.0599999999999454</v>
      </c>
      <c r="AI105" s="9">
        <f t="shared" si="18"/>
        <v>8.1400000000003274</v>
      </c>
      <c r="AJ105" s="9">
        <f t="shared" si="18"/>
        <v>0</v>
      </c>
      <c r="AK105" s="9">
        <f t="shared" si="18"/>
        <v>0</v>
      </c>
      <c r="AL105" s="9">
        <f t="shared" si="18"/>
        <v>0</v>
      </c>
      <c r="AM105" s="9">
        <f t="shared" si="18"/>
        <v>0</v>
      </c>
      <c r="AN105" s="9">
        <f t="shared" si="18"/>
        <v>14</v>
      </c>
      <c r="AO105" s="9">
        <f t="shared" si="18"/>
        <v>47</v>
      </c>
      <c r="AP105" s="9">
        <f t="shared" si="18"/>
        <v>12</v>
      </c>
      <c r="AQ105" s="9">
        <f t="shared" ref="AQ105" si="20">AQ116-AQ94-AQ83-AQ72-AQ61-AQ50-AQ39-AQ28-AQ17-AQ6</f>
        <v>26</v>
      </c>
      <c r="AR105" s="9">
        <f t="shared" si="18"/>
        <v>284</v>
      </c>
      <c r="AS105" s="9">
        <f t="shared" si="18"/>
        <v>1032</v>
      </c>
      <c r="AT105" s="9">
        <f t="shared" si="18"/>
        <v>63</v>
      </c>
      <c r="AU105" s="9">
        <f t="shared" si="18"/>
        <v>155</v>
      </c>
      <c r="AV105" s="9">
        <f t="shared" si="18"/>
        <v>628</v>
      </c>
      <c r="AW105" s="9">
        <f t="shared" si="18"/>
        <v>1473</v>
      </c>
      <c r="AX105" s="9">
        <f t="shared" si="18"/>
        <v>33</v>
      </c>
      <c r="AY105" s="9">
        <f t="shared" si="18"/>
        <v>79</v>
      </c>
      <c r="AZ105" s="9">
        <f t="shared" si="18"/>
        <v>6</v>
      </c>
      <c r="BA105" s="9">
        <f t="shared" si="18"/>
        <v>19</v>
      </c>
      <c r="BB105" s="9">
        <f t="shared" si="18"/>
        <v>1199</v>
      </c>
      <c r="BC105" s="9">
        <f t="shared" si="18"/>
        <v>3719</v>
      </c>
      <c r="BD105" s="9">
        <f t="shared" si="18"/>
        <v>0</v>
      </c>
      <c r="BE105" s="9">
        <f t="shared" si="18"/>
        <v>0</v>
      </c>
      <c r="BF105" s="9">
        <f t="shared" si="18"/>
        <v>1437</v>
      </c>
      <c r="BG105" s="9">
        <f t="shared" si="18"/>
        <v>4664</v>
      </c>
      <c r="BH105" s="9">
        <f t="shared" si="18"/>
        <v>0</v>
      </c>
      <c r="BI105" s="9">
        <f t="shared" si="18"/>
        <v>0</v>
      </c>
      <c r="BJ105" s="9">
        <f t="shared" si="18"/>
        <v>185</v>
      </c>
      <c r="BK105" s="9">
        <f t="shared" si="18"/>
        <v>457</v>
      </c>
      <c r="BL105" s="46">
        <f t="shared" ref="BL105:BM111" si="21">SUM(B105+D105+F105+H105+J105+L105+N105+P105+R105+T105+V105+X105+Z105+AB105+AD105+AF105+AH105+AJ105+AL105+AN105+AP105+AR105+AT105+AV105+AX105+AZ105+BB105+BD105+BF105+BH105+BJ105)</f>
        <v>16429.759999999998</v>
      </c>
      <c r="BM105" s="46">
        <f t="shared" si="21"/>
        <v>50269.479999999996</v>
      </c>
    </row>
    <row r="106" spans="1:65" x14ac:dyDescent="0.25">
      <c r="A106" s="9" t="s">
        <v>281</v>
      </c>
      <c r="B106" s="9">
        <f t="shared" ref="B106:P111" si="22">B117-B95-B84-B73-B62-B51-B40-B29-B18-B7</f>
        <v>0</v>
      </c>
      <c r="C106" s="9">
        <f t="shared" si="22"/>
        <v>0</v>
      </c>
      <c r="D106" s="9">
        <f t="shared" si="22"/>
        <v>0</v>
      </c>
      <c r="E106" s="9">
        <f t="shared" si="22"/>
        <v>0</v>
      </c>
      <c r="F106" s="9">
        <f t="shared" si="22"/>
        <v>0</v>
      </c>
      <c r="G106" s="9">
        <f t="shared" si="22"/>
        <v>0</v>
      </c>
      <c r="H106" s="9">
        <f t="shared" si="22"/>
        <v>539</v>
      </c>
      <c r="I106" s="9">
        <f t="shared" si="22"/>
        <v>816</v>
      </c>
      <c r="J106" s="9">
        <f t="shared" si="22"/>
        <v>171</v>
      </c>
      <c r="K106" s="9">
        <f t="shared" si="22"/>
        <v>745</v>
      </c>
      <c r="L106" s="9">
        <f t="shared" si="22"/>
        <v>5</v>
      </c>
      <c r="M106" s="9">
        <f t="shared" si="22"/>
        <v>7</v>
      </c>
      <c r="N106" s="9">
        <f t="shared" si="22"/>
        <v>224</v>
      </c>
      <c r="O106" s="9">
        <f t="shared" si="22"/>
        <v>719</v>
      </c>
      <c r="P106" s="9">
        <f t="shared" si="22"/>
        <v>0</v>
      </c>
      <c r="Q106" s="9">
        <f t="shared" ref="Q106" si="23">Q117-Q95-Q84-Q73-Q62-Q51-Q40-Q29-Q18-Q7</f>
        <v>0</v>
      </c>
      <c r="R106" s="9">
        <f t="shared" ref="R106:BK106" si="24">R117-R95-R84-R73-R62-R51-R40-R29-R18-R7</f>
        <v>4.490000000000002</v>
      </c>
      <c r="S106" s="9">
        <f t="shared" si="24"/>
        <v>4.5300000000000296</v>
      </c>
      <c r="T106" s="9">
        <f t="shared" si="24"/>
        <v>49.969999999999885</v>
      </c>
      <c r="U106" s="9">
        <f t="shared" si="24"/>
        <v>120.55999999999983</v>
      </c>
      <c r="V106" s="9">
        <f t="shared" si="24"/>
        <v>463</v>
      </c>
      <c r="W106" s="9">
        <f t="shared" si="24"/>
        <v>1438</v>
      </c>
      <c r="X106" s="9">
        <f t="shared" si="24"/>
        <v>397</v>
      </c>
      <c r="Y106" s="9">
        <f t="shared" si="24"/>
        <v>1219</v>
      </c>
      <c r="Z106" s="9">
        <f t="shared" si="24"/>
        <v>618</v>
      </c>
      <c r="AA106" s="9">
        <f t="shared" si="24"/>
        <v>2078</v>
      </c>
      <c r="AB106" s="9">
        <f t="shared" si="24"/>
        <v>7</v>
      </c>
      <c r="AC106" s="9">
        <f t="shared" si="24"/>
        <v>21</v>
      </c>
      <c r="AD106" s="9">
        <f t="shared" si="24"/>
        <v>50</v>
      </c>
      <c r="AE106" s="9">
        <f t="shared" si="24"/>
        <v>122</v>
      </c>
      <c r="AF106" s="9">
        <f t="shared" si="24"/>
        <v>4</v>
      </c>
      <c r="AG106" s="9">
        <f t="shared" si="24"/>
        <v>8</v>
      </c>
      <c r="AH106" s="9">
        <f t="shared" si="24"/>
        <v>0.84000000000003183</v>
      </c>
      <c r="AI106" s="9">
        <f t="shared" si="24"/>
        <v>1.8699999999998909</v>
      </c>
      <c r="AJ106" s="9">
        <f t="shared" si="24"/>
        <v>0</v>
      </c>
      <c r="AK106" s="9">
        <f t="shared" si="24"/>
        <v>0</v>
      </c>
      <c r="AL106" s="9">
        <f t="shared" si="24"/>
        <v>0</v>
      </c>
      <c r="AM106" s="9">
        <f t="shared" si="24"/>
        <v>0</v>
      </c>
      <c r="AN106" s="9">
        <f t="shared" si="24"/>
        <v>0</v>
      </c>
      <c r="AO106" s="9">
        <f t="shared" si="24"/>
        <v>0</v>
      </c>
      <c r="AP106" s="9">
        <f t="shared" si="24"/>
        <v>0</v>
      </c>
      <c r="AQ106" s="9">
        <f t="shared" ref="AQ106" si="25">AQ117-AQ95-AQ84-AQ73-AQ62-AQ51-AQ40-AQ29-AQ18-AQ7</f>
        <v>3</v>
      </c>
      <c r="AR106" s="9">
        <f t="shared" si="24"/>
        <v>93</v>
      </c>
      <c r="AS106" s="9">
        <f t="shared" si="24"/>
        <v>247</v>
      </c>
      <c r="AT106" s="9">
        <f t="shared" si="24"/>
        <v>17</v>
      </c>
      <c r="AU106" s="9">
        <f t="shared" si="24"/>
        <v>43</v>
      </c>
      <c r="AV106" s="9">
        <f t="shared" si="24"/>
        <v>77</v>
      </c>
      <c r="AW106" s="9">
        <f t="shared" si="24"/>
        <v>167</v>
      </c>
      <c r="AX106" s="9">
        <f t="shared" si="24"/>
        <v>3</v>
      </c>
      <c r="AY106" s="9">
        <f t="shared" si="24"/>
        <v>14</v>
      </c>
      <c r="AZ106" s="9">
        <f t="shared" si="24"/>
        <v>0</v>
      </c>
      <c r="BA106" s="9">
        <f t="shared" si="24"/>
        <v>1</v>
      </c>
      <c r="BB106" s="9">
        <f t="shared" si="24"/>
        <v>468</v>
      </c>
      <c r="BC106" s="9">
        <f t="shared" si="24"/>
        <v>1480</v>
      </c>
      <c r="BD106" s="9">
        <f t="shared" si="24"/>
        <v>0</v>
      </c>
      <c r="BE106" s="9">
        <f t="shared" si="24"/>
        <v>0</v>
      </c>
      <c r="BF106" s="9">
        <f t="shared" si="24"/>
        <v>118</v>
      </c>
      <c r="BG106" s="9">
        <f t="shared" si="24"/>
        <v>1183</v>
      </c>
      <c r="BH106" s="9">
        <f t="shared" si="24"/>
        <v>0</v>
      </c>
      <c r="BI106" s="9">
        <f t="shared" si="24"/>
        <v>0</v>
      </c>
      <c r="BJ106" s="9">
        <f t="shared" si="24"/>
        <v>1</v>
      </c>
      <c r="BK106" s="9">
        <f t="shared" si="24"/>
        <v>21</v>
      </c>
      <c r="BL106" s="46">
        <f t="shared" si="21"/>
        <v>3310.3</v>
      </c>
      <c r="BM106" s="46">
        <f t="shared" si="21"/>
        <v>10458.959999999999</v>
      </c>
    </row>
    <row r="107" spans="1:65" x14ac:dyDescent="0.25">
      <c r="A107" s="9" t="s">
        <v>282</v>
      </c>
      <c r="B107" s="9">
        <f t="shared" si="22"/>
        <v>0</v>
      </c>
      <c r="C107" s="9">
        <f t="shared" si="22"/>
        <v>0</v>
      </c>
      <c r="D107" s="9">
        <f t="shared" si="22"/>
        <v>0</v>
      </c>
      <c r="E107" s="9">
        <f t="shared" si="22"/>
        <v>0</v>
      </c>
      <c r="F107" s="9">
        <f t="shared" si="22"/>
        <v>0</v>
      </c>
      <c r="G107" s="9">
        <f t="shared" si="22"/>
        <v>0</v>
      </c>
      <c r="H107" s="9">
        <f t="shared" si="22"/>
        <v>0</v>
      </c>
      <c r="I107" s="9">
        <f t="shared" si="22"/>
        <v>0</v>
      </c>
      <c r="J107" s="9">
        <f t="shared" si="22"/>
        <v>0</v>
      </c>
      <c r="K107" s="9">
        <f t="shared" si="22"/>
        <v>0</v>
      </c>
      <c r="L107" s="9">
        <f t="shared" si="22"/>
        <v>0</v>
      </c>
      <c r="M107" s="9">
        <f t="shared" si="22"/>
        <v>0</v>
      </c>
      <c r="N107" s="9">
        <f t="shared" si="22"/>
        <v>0</v>
      </c>
      <c r="O107" s="9">
        <f t="shared" si="22"/>
        <v>0</v>
      </c>
      <c r="P107" s="9">
        <f t="shared" si="22"/>
        <v>0</v>
      </c>
      <c r="Q107" s="9">
        <f t="shared" ref="Q107" si="26">Q118-Q96-Q85-Q74-Q63-Q52-Q41-Q30-Q19-Q8</f>
        <v>0</v>
      </c>
      <c r="R107" s="9">
        <f t="shared" ref="R107:BK107" si="27">R118-R96-R85-R74-R63-R52-R41-R30-R19-R8</f>
        <v>0</v>
      </c>
      <c r="S107" s="9">
        <f t="shared" si="27"/>
        <v>0</v>
      </c>
      <c r="T107" s="9">
        <f t="shared" si="27"/>
        <v>0</v>
      </c>
      <c r="U107" s="9">
        <f t="shared" si="27"/>
        <v>0</v>
      </c>
      <c r="V107" s="9">
        <f t="shared" si="27"/>
        <v>0</v>
      </c>
      <c r="W107" s="9">
        <f t="shared" si="27"/>
        <v>0</v>
      </c>
      <c r="X107" s="9">
        <f t="shared" si="27"/>
        <v>0</v>
      </c>
      <c r="Y107" s="9">
        <f t="shared" si="27"/>
        <v>0</v>
      </c>
      <c r="Z107" s="9">
        <f t="shared" si="27"/>
        <v>0</v>
      </c>
      <c r="AA107" s="9">
        <f t="shared" si="27"/>
        <v>0</v>
      </c>
      <c r="AB107" s="9">
        <f t="shared" si="27"/>
        <v>0</v>
      </c>
      <c r="AC107" s="9">
        <f t="shared" si="27"/>
        <v>0</v>
      </c>
      <c r="AD107" s="9">
        <f t="shared" si="27"/>
        <v>0</v>
      </c>
      <c r="AE107" s="9">
        <f t="shared" si="27"/>
        <v>0</v>
      </c>
      <c r="AF107" s="9">
        <f t="shared" si="27"/>
        <v>0</v>
      </c>
      <c r="AG107" s="9">
        <f t="shared" si="27"/>
        <v>0</v>
      </c>
      <c r="AH107" s="9">
        <f t="shared" si="27"/>
        <v>0</v>
      </c>
      <c r="AI107" s="9">
        <f t="shared" si="27"/>
        <v>0</v>
      </c>
      <c r="AJ107" s="9">
        <f t="shared" si="27"/>
        <v>0</v>
      </c>
      <c r="AK107" s="9">
        <f t="shared" si="27"/>
        <v>0</v>
      </c>
      <c r="AL107" s="9">
        <f t="shared" si="27"/>
        <v>0</v>
      </c>
      <c r="AM107" s="9">
        <f t="shared" si="27"/>
        <v>0</v>
      </c>
      <c r="AN107" s="9">
        <f t="shared" si="27"/>
        <v>0</v>
      </c>
      <c r="AO107" s="9">
        <f t="shared" si="27"/>
        <v>0</v>
      </c>
      <c r="AP107" s="9">
        <f t="shared" si="27"/>
        <v>0</v>
      </c>
      <c r="AQ107" s="9">
        <f t="shared" ref="AQ107" si="28">AQ118-AQ96-AQ85-AQ74-AQ63-AQ52-AQ41-AQ30-AQ19-AQ8</f>
        <v>0</v>
      </c>
      <c r="AR107" s="9">
        <f t="shared" si="27"/>
        <v>-26</v>
      </c>
      <c r="AS107" s="9">
        <f t="shared" si="27"/>
        <v>0</v>
      </c>
      <c r="AT107" s="9">
        <f t="shared" si="27"/>
        <v>0</v>
      </c>
      <c r="AU107" s="9">
        <f t="shared" si="27"/>
        <v>0</v>
      </c>
      <c r="AV107" s="9">
        <f t="shared" si="27"/>
        <v>0</v>
      </c>
      <c r="AW107" s="9">
        <f t="shared" si="27"/>
        <v>0</v>
      </c>
      <c r="AX107" s="9">
        <f t="shared" si="27"/>
        <v>0</v>
      </c>
      <c r="AY107" s="9">
        <f t="shared" si="27"/>
        <v>0</v>
      </c>
      <c r="AZ107" s="9">
        <f t="shared" si="27"/>
        <v>0</v>
      </c>
      <c r="BA107" s="9">
        <f t="shared" si="27"/>
        <v>0</v>
      </c>
      <c r="BB107" s="9">
        <f t="shared" si="27"/>
        <v>0</v>
      </c>
      <c r="BC107" s="9">
        <f t="shared" si="27"/>
        <v>0</v>
      </c>
      <c r="BD107" s="9">
        <f t="shared" si="27"/>
        <v>0</v>
      </c>
      <c r="BE107" s="9">
        <f t="shared" si="27"/>
        <v>0</v>
      </c>
      <c r="BF107" s="9">
        <f t="shared" si="27"/>
        <v>0</v>
      </c>
      <c r="BG107" s="9">
        <f t="shared" si="27"/>
        <v>0</v>
      </c>
      <c r="BH107" s="9">
        <f t="shared" si="27"/>
        <v>0</v>
      </c>
      <c r="BI107" s="9">
        <f t="shared" si="27"/>
        <v>0</v>
      </c>
      <c r="BJ107" s="9">
        <f t="shared" si="27"/>
        <v>0</v>
      </c>
      <c r="BK107" s="9">
        <f t="shared" si="27"/>
        <v>0</v>
      </c>
      <c r="BL107" s="46">
        <f t="shared" si="21"/>
        <v>-26</v>
      </c>
      <c r="BM107" s="46">
        <f t="shared" si="21"/>
        <v>0</v>
      </c>
    </row>
    <row r="108" spans="1:65" s="7" customFormat="1" x14ac:dyDescent="0.25">
      <c r="A108" s="10" t="s">
        <v>283</v>
      </c>
      <c r="B108" s="10">
        <f t="shared" si="22"/>
        <v>1</v>
      </c>
      <c r="C108" s="10">
        <f t="shared" si="22"/>
        <v>4</v>
      </c>
      <c r="D108" s="10">
        <f t="shared" si="22"/>
        <v>3</v>
      </c>
      <c r="E108" s="10">
        <f t="shared" si="22"/>
        <v>17</v>
      </c>
      <c r="F108" s="10">
        <f t="shared" si="22"/>
        <v>0</v>
      </c>
      <c r="G108" s="10">
        <f t="shared" si="22"/>
        <v>0</v>
      </c>
      <c r="H108" s="10">
        <f t="shared" si="22"/>
        <v>3212</v>
      </c>
      <c r="I108" s="10">
        <f t="shared" si="22"/>
        <v>8351</v>
      </c>
      <c r="J108" s="10">
        <f t="shared" si="22"/>
        <v>450</v>
      </c>
      <c r="K108" s="10">
        <f t="shared" si="22"/>
        <v>1900</v>
      </c>
      <c r="L108" s="10">
        <f t="shared" si="22"/>
        <v>313</v>
      </c>
      <c r="M108" s="10">
        <f t="shared" si="22"/>
        <v>864</v>
      </c>
      <c r="N108" s="10">
        <f t="shared" si="22"/>
        <v>697</v>
      </c>
      <c r="O108" s="10">
        <f t="shared" si="22"/>
        <v>4269</v>
      </c>
      <c r="P108" s="10">
        <f t="shared" si="22"/>
        <v>649.96</v>
      </c>
      <c r="Q108" s="10">
        <f t="shared" ref="Q108" si="29">Q119-Q97-Q86-Q75-Q64-Q53-Q42-Q31-Q20-Q9</f>
        <v>1501.76</v>
      </c>
      <c r="R108" s="10">
        <f t="shared" ref="R108:BK108" si="30">R119-R97-R86-R75-R64-R53-R42-R31-R20-R9</f>
        <v>96.619999999999862</v>
      </c>
      <c r="S108" s="10">
        <f t="shared" si="30"/>
        <v>266.09000000000003</v>
      </c>
      <c r="T108" s="10">
        <f t="shared" si="30"/>
        <v>928.59000000000015</v>
      </c>
      <c r="U108" s="10">
        <f t="shared" si="30"/>
        <v>2629.5699999999947</v>
      </c>
      <c r="V108" s="10">
        <f t="shared" si="30"/>
        <v>2200</v>
      </c>
      <c r="W108" s="10">
        <f t="shared" si="30"/>
        <v>6908</v>
      </c>
      <c r="X108" s="10">
        <f t="shared" si="30"/>
        <v>3259</v>
      </c>
      <c r="Y108" s="10">
        <f t="shared" si="30"/>
        <v>9328</v>
      </c>
      <c r="Z108" s="10">
        <f t="shared" si="30"/>
        <v>2918</v>
      </c>
      <c r="AA108" s="10">
        <f t="shared" si="30"/>
        <v>8764</v>
      </c>
      <c r="AB108" s="10">
        <f t="shared" si="30"/>
        <v>109</v>
      </c>
      <c r="AC108" s="10">
        <f t="shared" si="30"/>
        <v>237</v>
      </c>
      <c r="AD108" s="10">
        <f t="shared" si="30"/>
        <v>236</v>
      </c>
      <c r="AE108" s="10">
        <f t="shared" si="30"/>
        <v>766</v>
      </c>
      <c r="AF108" s="10">
        <f t="shared" si="30"/>
        <v>27</v>
      </c>
      <c r="AG108" s="10">
        <f t="shared" si="30"/>
        <v>62</v>
      </c>
      <c r="AH108" s="10">
        <f t="shared" si="30"/>
        <v>3.8999999999996362</v>
      </c>
      <c r="AI108" s="10">
        <f t="shared" si="30"/>
        <v>10.010000000000218</v>
      </c>
      <c r="AJ108" s="10">
        <f t="shared" si="30"/>
        <v>915</v>
      </c>
      <c r="AK108" s="10">
        <f t="shared" si="30"/>
        <v>4262</v>
      </c>
      <c r="AL108" s="10">
        <f t="shared" si="30"/>
        <v>0</v>
      </c>
      <c r="AM108" s="10">
        <f t="shared" si="30"/>
        <v>0</v>
      </c>
      <c r="AN108" s="10">
        <f t="shared" si="30"/>
        <v>13</v>
      </c>
      <c r="AO108" s="10">
        <f t="shared" si="30"/>
        <v>47</v>
      </c>
      <c r="AP108" s="10">
        <f t="shared" si="30"/>
        <v>13</v>
      </c>
      <c r="AQ108" s="10">
        <f t="shared" ref="AQ108" si="31">AQ119-AQ97-AQ86-AQ75-AQ64-AQ53-AQ42-AQ31-AQ20-AQ9</f>
        <v>31</v>
      </c>
      <c r="AR108" s="10">
        <f t="shared" si="30"/>
        <v>351</v>
      </c>
      <c r="AS108" s="10">
        <f t="shared" si="30"/>
        <v>1282</v>
      </c>
      <c r="AT108" s="10">
        <f t="shared" si="30"/>
        <v>80</v>
      </c>
      <c r="AU108" s="10">
        <f t="shared" si="30"/>
        <v>199</v>
      </c>
      <c r="AV108" s="10">
        <f t="shared" si="30"/>
        <v>706</v>
      </c>
      <c r="AW108" s="10">
        <f t="shared" si="30"/>
        <v>1639</v>
      </c>
      <c r="AX108" s="10">
        <f t="shared" si="30"/>
        <v>33</v>
      </c>
      <c r="AY108" s="10">
        <f t="shared" si="30"/>
        <v>91</v>
      </c>
      <c r="AZ108" s="10">
        <f t="shared" si="30"/>
        <v>6</v>
      </c>
      <c r="BA108" s="10">
        <f t="shared" si="30"/>
        <v>19</v>
      </c>
      <c r="BB108" s="10">
        <f t="shared" si="30"/>
        <v>1669</v>
      </c>
      <c r="BC108" s="10">
        <f t="shared" si="30"/>
        <v>5199</v>
      </c>
      <c r="BD108" s="10">
        <f t="shared" si="30"/>
        <v>3246</v>
      </c>
      <c r="BE108" s="10">
        <f t="shared" si="30"/>
        <v>13147</v>
      </c>
      <c r="BF108" s="10">
        <f t="shared" si="30"/>
        <v>1556</v>
      </c>
      <c r="BG108" s="10">
        <f t="shared" si="30"/>
        <v>5848</v>
      </c>
      <c r="BH108" s="10">
        <f t="shared" si="30"/>
        <v>2027</v>
      </c>
      <c r="BI108" s="10">
        <f t="shared" si="30"/>
        <v>8160</v>
      </c>
      <c r="BJ108" s="10">
        <f t="shared" si="30"/>
        <v>187</v>
      </c>
      <c r="BK108" s="10">
        <f t="shared" si="30"/>
        <v>479</v>
      </c>
      <c r="BL108" s="42">
        <f t="shared" si="21"/>
        <v>25906.07</v>
      </c>
      <c r="BM108" s="42">
        <f t="shared" si="21"/>
        <v>86280.43</v>
      </c>
    </row>
    <row r="109" spans="1:65" x14ac:dyDescent="0.25">
      <c r="A109" s="9" t="s">
        <v>284</v>
      </c>
      <c r="B109" s="9">
        <f t="shared" si="22"/>
        <v>0</v>
      </c>
      <c r="C109" s="9">
        <f t="shared" si="22"/>
        <v>0</v>
      </c>
      <c r="D109" s="9">
        <f t="shared" si="22"/>
        <v>0</v>
      </c>
      <c r="E109" s="9">
        <f t="shared" si="22"/>
        <v>0</v>
      </c>
      <c r="F109" s="9">
        <f t="shared" si="22"/>
        <v>0</v>
      </c>
      <c r="G109" s="9">
        <f t="shared" si="22"/>
        <v>0</v>
      </c>
      <c r="H109" s="9">
        <f t="shared" si="22"/>
        <v>3</v>
      </c>
      <c r="I109" s="9">
        <f t="shared" si="22"/>
        <v>1</v>
      </c>
      <c r="J109" s="9">
        <f t="shared" si="22"/>
        <v>0</v>
      </c>
      <c r="K109" s="9">
        <f t="shared" si="22"/>
        <v>0</v>
      </c>
      <c r="L109" s="9">
        <f t="shared" si="22"/>
        <v>0</v>
      </c>
      <c r="M109" s="9">
        <f t="shared" si="22"/>
        <v>0</v>
      </c>
      <c r="N109" s="9">
        <f t="shared" si="22"/>
        <v>56</v>
      </c>
      <c r="O109" s="9">
        <f t="shared" si="22"/>
        <v>147</v>
      </c>
      <c r="P109" s="9">
        <f t="shared" si="22"/>
        <v>0</v>
      </c>
      <c r="Q109" s="9">
        <f t="shared" ref="Q109" si="32">Q120-Q98-Q87-Q76-Q65-Q54-Q43-Q32-Q21-Q10</f>
        <v>0</v>
      </c>
      <c r="R109" s="9">
        <f t="shared" ref="R109:BK109" si="33">R120-R98-R87-R76-R65-R54-R43-R32-R21-R10</f>
        <v>-1.0000000000005116E-2</v>
      </c>
      <c r="S109" s="9">
        <f t="shared" si="33"/>
        <v>0</v>
      </c>
      <c r="T109" s="9">
        <f t="shared" si="33"/>
        <v>0</v>
      </c>
      <c r="U109" s="9">
        <f t="shared" si="33"/>
        <v>-1.0000000000047748E-2</v>
      </c>
      <c r="V109" s="9">
        <f t="shared" si="33"/>
        <v>238</v>
      </c>
      <c r="W109" s="9">
        <f t="shared" si="33"/>
        <v>435</v>
      </c>
      <c r="X109" s="9">
        <f t="shared" si="33"/>
        <v>89</v>
      </c>
      <c r="Y109" s="9">
        <f t="shared" si="33"/>
        <v>323</v>
      </c>
      <c r="Z109" s="9">
        <f t="shared" si="33"/>
        <v>0</v>
      </c>
      <c r="AA109" s="9">
        <f t="shared" si="33"/>
        <v>1</v>
      </c>
      <c r="AB109" s="9">
        <f t="shared" si="33"/>
        <v>1</v>
      </c>
      <c r="AC109" s="9">
        <f t="shared" si="33"/>
        <v>5</v>
      </c>
      <c r="AD109" s="9">
        <f t="shared" si="33"/>
        <v>1</v>
      </c>
      <c r="AE109" s="9">
        <f t="shared" si="33"/>
        <v>1</v>
      </c>
      <c r="AF109" s="9">
        <f t="shared" si="33"/>
        <v>-1</v>
      </c>
      <c r="AG109" s="9">
        <f t="shared" si="33"/>
        <v>5</v>
      </c>
      <c r="AH109" s="9">
        <f t="shared" si="33"/>
        <v>0</v>
      </c>
      <c r="AI109" s="9">
        <f t="shared" si="33"/>
        <v>0</v>
      </c>
      <c r="AJ109" s="9">
        <f t="shared" si="33"/>
        <v>61</v>
      </c>
      <c r="AK109" s="9">
        <f t="shared" si="33"/>
        <v>131</v>
      </c>
      <c r="AL109" s="9">
        <f t="shared" si="33"/>
        <v>0</v>
      </c>
      <c r="AM109" s="9">
        <f t="shared" si="33"/>
        <v>0</v>
      </c>
      <c r="AN109" s="9">
        <f t="shared" si="33"/>
        <v>0</v>
      </c>
      <c r="AO109" s="9">
        <f t="shared" si="33"/>
        <v>0</v>
      </c>
      <c r="AP109" s="9">
        <f t="shared" si="33"/>
        <v>0</v>
      </c>
      <c r="AQ109" s="9">
        <f t="shared" ref="AQ109" si="34">AQ120-AQ98-AQ87-AQ76-AQ65-AQ54-AQ43-AQ32-AQ21-AQ10</f>
        <v>0</v>
      </c>
      <c r="AR109" s="9">
        <f t="shared" si="33"/>
        <v>0</v>
      </c>
      <c r="AS109" s="9">
        <f t="shared" si="33"/>
        <v>5</v>
      </c>
      <c r="AT109" s="9">
        <f t="shared" si="33"/>
        <v>0</v>
      </c>
      <c r="AU109" s="9">
        <f t="shared" si="33"/>
        <v>0</v>
      </c>
      <c r="AV109" s="9">
        <f t="shared" si="33"/>
        <v>0</v>
      </c>
      <c r="AW109" s="9">
        <f t="shared" si="33"/>
        <v>-104</v>
      </c>
      <c r="AX109" s="9">
        <f t="shared" si="33"/>
        <v>-1</v>
      </c>
      <c r="AY109" s="9">
        <f t="shared" si="33"/>
        <v>4</v>
      </c>
      <c r="AZ109" s="9">
        <f t="shared" si="33"/>
        <v>0</v>
      </c>
      <c r="BA109" s="9">
        <f t="shared" si="33"/>
        <v>0</v>
      </c>
      <c r="BB109" s="9">
        <f t="shared" si="33"/>
        <v>0</v>
      </c>
      <c r="BC109" s="9">
        <f t="shared" si="33"/>
        <v>1</v>
      </c>
      <c r="BD109" s="9">
        <f t="shared" si="33"/>
        <v>33</v>
      </c>
      <c r="BE109" s="9">
        <f t="shared" si="33"/>
        <v>75</v>
      </c>
      <c r="BF109" s="9">
        <f t="shared" si="33"/>
        <v>-9</v>
      </c>
      <c r="BG109" s="9">
        <f t="shared" si="33"/>
        <v>36</v>
      </c>
      <c r="BH109" s="9">
        <f t="shared" si="33"/>
        <v>0</v>
      </c>
      <c r="BI109" s="9">
        <f t="shared" si="33"/>
        <v>-6</v>
      </c>
      <c r="BJ109" s="9">
        <f t="shared" si="33"/>
        <v>4</v>
      </c>
      <c r="BK109" s="9">
        <f t="shared" si="33"/>
        <v>0</v>
      </c>
      <c r="BL109" s="46">
        <f t="shared" si="21"/>
        <v>474.99</v>
      </c>
      <c r="BM109" s="46">
        <f t="shared" si="21"/>
        <v>1059.99</v>
      </c>
    </row>
    <row r="110" spans="1:65" x14ac:dyDescent="0.25">
      <c r="A110" s="9" t="s">
        <v>285</v>
      </c>
      <c r="B110" s="9">
        <f t="shared" si="22"/>
        <v>48</v>
      </c>
      <c r="C110" s="9">
        <f t="shared" si="22"/>
        <v>114</v>
      </c>
      <c r="D110" s="9">
        <f t="shared" si="22"/>
        <v>6</v>
      </c>
      <c r="E110" s="9">
        <f t="shared" si="22"/>
        <v>21</v>
      </c>
      <c r="F110" s="9">
        <f t="shared" si="22"/>
        <v>0</v>
      </c>
      <c r="G110" s="9">
        <f t="shared" si="22"/>
        <v>0</v>
      </c>
      <c r="H110" s="9">
        <f t="shared" si="22"/>
        <v>-3869</v>
      </c>
      <c r="I110" s="9">
        <f t="shared" si="22"/>
        <v>-12464</v>
      </c>
      <c r="J110" s="9">
        <f t="shared" si="22"/>
        <v>14</v>
      </c>
      <c r="K110" s="9">
        <f t="shared" si="22"/>
        <v>89</v>
      </c>
      <c r="L110" s="9">
        <f t="shared" si="22"/>
        <v>96</v>
      </c>
      <c r="M110" s="9">
        <f t="shared" si="22"/>
        <v>156</v>
      </c>
      <c r="N110" s="9">
        <f t="shared" si="22"/>
        <v>-1657</v>
      </c>
      <c r="O110" s="9">
        <f t="shared" si="22"/>
        <v>-5824</v>
      </c>
      <c r="P110" s="9">
        <f t="shared" si="22"/>
        <v>771.57</v>
      </c>
      <c r="Q110" s="9">
        <f t="shared" ref="Q110" si="35">Q121-Q99-Q88-Q77-Q66-Q55-Q44-Q33-Q22-Q11</f>
        <v>2170.66</v>
      </c>
      <c r="R110" s="9">
        <f t="shared" ref="R110:BK110" si="36">R121-R99-R88-R77-R66-R55-R44-R33-R22-R11</f>
        <v>35.480000000000047</v>
      </c>
      <c r="S110" s="9">
        <f t="shared" si="36"/>
        <v>71.099999999999795</v>
      </c>
      <c r="T110" s="9">
        <f t="shared" si="36"/>
        <v>510.0300000000002</v>
      </c>
      <c r="U110" s="9">
        <f t="shared" si="36"/>
        <v>2215.6699999999973</v>
      </c>
      <c r="V110" s="9">
        <f t="shared" si="36"/>
        <v>-2874</v>
      </c>
      <c r="W110" s="9">
        <f t="shared" si="36"/>
        <v>-8576</v>
      </c>
      <c r="X110" s="9">
        <f t="shared" si="36"/>
        <v>3068</v>
      </c>
      <c r="Y110" s="9">
        <f t="shared" si="36"/>
        <v>6737</v>
      </c>
      <c r="Z110" s="9">
        <f t="shared" si="36"/>
        <v>805</v>
      </c>
      <c r="AA110" s="9">
        <f t="shared" si="36"/>
        <v>2430</v>
      </c>
      <c r="AB110" s="9">
        <f t="shared" si="36"/>
        <v>101</v>
      </c>
      <c r="AC110" s="9">
        <f t="shared" si="36"/>
        <v>274</v>
      </c>
      <c r="AD110" s="9">
        <f t="shared" si="36"/>
        <v>124</v>
      </c>
      <c r="AE110" s="9">
        <f t="shared" si="36"/>
        <v>530</v>
      </c>
      <c r="AF110" s="9">
        <f t="shared" si="36"/>
        <v>-72</v>
      </c>
      <c r="AG110" s="9">
        <f t="shared" si="36"/>
        <v>-267</v>
      </c>
      <c r="AH110" s="9">
        <f t="shared" si="36"/>
        <v>0.26000000000001933</v>
      </c>
      <c r="AI110" s="9">
        <f t="shared" si="36"/>
        <v>0.71999999999997044</v>
      </c>
      <c r="AJ110" s="9">
        <f t="shared" si="36"/>
        <v>102</v>
      </c>
      <c r="AK110" s="9">
        <f t="shared" si="36"/>
        <v>374</v>
      </c>
      <c r="AL110" s="9">
        <f t="shared" si="36"/>
        <v>0</v>
      </c>
      <c r="AM110" s="9">
        <f t="shared" si="36"/>
        <v>-2</v>
      </c>
      <c r="AN110" s="9">
        <f t="shared" si="36"/>
        <v>23</v>
      </c>
      <c r="AO110" s="9">
        <f t="shared" si="36"/>
        <v>59</v>
      </c>
      <c r="AP110" s="9">
        <f t="shared" si="36"/>
        <v>5</v>
      </c>
      <c r="AQ110" s="9">
        <f t="shared" ref="AQ110" si="37">AQ121-AQ99-AQ88-AQ77-AQ66-AQ55-AQ44-AQ33-AQ22-AQ11</f>
        <v>8</v>
      </c>
      <c r="AR110" s="9">
        <f t="shared" si="36"/>
        <v>51</v>
      </c>
      <c r="AS110" s="9">
        <f t="shared" si="36"/>
        <v>205</v>
      </c>
      <c r="AT110" s="9">
        <f t="shared" si="36"/>
        <v>56</v>
      </c>
      <c r="AU110" s="9">
        <f t="shared" si="36"/>
        <v>140</v>
      </c>
      <c r="AV110" s="9">
        <f t="shared" si="36"/>
        <v>395</v>
      </c>
      <c r="AW110" s="9">
        <f t="shared" si="36"/>
        <v>1131</v>
      </c>
      <c r="AX110" s="9">
        <f t="shared" si="36"/>
        <v>19</v>
      </c>
      <c r="AY110" s="9">
        <f t="shared" si="36"/>
        <v>52</v>
      </c>
      <c r="AZ110" s="9">
        <f t="shared" si="36"/>
        <v>10</v>
      </c>
      <c r="BA110" s="9">
        <f t="shared" si="36"/>
        <v>25</v>
      </c>
      <c r="BB110" s="9">
        <f t="shared" si="36"/>
        <v>974</v>
      </c>
      <c r="BC110" s="9">
        <f t="shared" si="36"/>
        <v>2917</v>
      </c>
      <c r="BD110" s="9">
        <f t="shared" si="36"/>
        <v>576</v>
      </c>
      <c r="BE110" s="9">
        <f t="shared" si="36"/>
        <v>3972</v>
      </c>
      <c r="BF110" s="9">
        <f t="shared" si="36"/>
        <v>324</v>
      </c>
      <c r="BG110" s="9">
        <f t="shared" si="36"/>
        <v>670</v>
      </c>
      <c r="BH110" s="9">
        <f t="shared" si="36"/>
        <v>149</v>
      </c>
      <c r="BI110" s="9">
        <f t="shared" si="36"/>
        <v>671</v>
      </c>
      <c r="BJ110" s="9">
        <f t="shared" si="36"/>
        <v>77</v>
      </c>
      <c r="BK110" s="9">
        <f t="shared" si="36"/>
        <v>146</v>
      </c>
      <c r="BL110" s="46">
        <f t="shared" si="21"/>
        <v>-131.65999999999985</v>
      </c>
      <c r="BM110" s="46">
        <f t="shared" si="21"/>
        <v>-1953.850000000004</v>
      </c>
    </row>
    <row r="111" spans="1:65" s="7" customFormat="1" x14ac:dyDescent="0.25">
      <c r="A111" s="10" t="s">
        <v>190</v>
      </c>
      <c r="B111" s="10">
        <f t="shared" si="22"/>
        <v>-47</v>
      </c>
      <c r="C111" s="10">
        <f t="shared" si="22"/>
        <v>-110</v>
      </c>
      <c r="D111" s="10">
        <f t="shared" si="22"/>
        <v>-4</v>
      </c>
      <c r="E111" s="10">
        <f t="shared" si="22"/>
        <v>-6</v>
      </c>
      <c r="F111" s="10">
        <f t="shared" si="22"/>
        <v>0</v>
      </c>
      <c r="G111" s="10">
        <f t="shared" si="22"/>
        <v>0</v>
      </c>
      <c r="H111" s="10">
        <f t="shared" si="22"/>
        <v>-653</v>
      </c>
      <c r="I111" s="10">
        <f t="shared" si="22"/>
        <v>-4115</v>
      </c>
      <c r="J111" s="10">
        <f t="shared" si="22"/>
        <v>436</v>
      </c>
      <c r="K111" s="10">
        <f t="shared" si="22"/>
        <v>1811</v>
      </c>
      <c r="L111" s="10">
        <f t="shared" si="22"/>
        <v>217</v>
      </c>
      <c r="M111" s="10">
        <f t="shared" si="22"/>
        <v>708</v>
      </c>
      <c r="N111" s="10">
        <f t="shared" si="22"/>
        <v>-904</v>
      </c>
      <c r="O111" s="10">
        <f t="shared" si="22"/>
        <v>-1408</v>
      </c>
      <c r="P111" s="10">
        <f t="shared" si="22"/>
        <v>-121.61</v>
      </c>
      <c r="Q111" s="10">
        <f t="shared" ref="Q111" si="38">Q122-Q100-Q89-Q78-Q67-Q56-Q45-Q34-Q23-Q12</f>
        <v>-668.9</v>
      </c>
      <c r="R111" s="10">
        <f t="shared" ref="R111:BK111" si="39">R122-R100-R89-R78-R67-R56-R45-R34-R23-R12</f>
        <v>61.13</v>
      </c>
      <c r="S111" s="10">
        <f t="shared" si="39"/>
        <v>194.98999999999981</v>
      </c>
      <c r="T111" s="10">
        <f t="shared" si="39"/>
        <v>418.53999999999928</v>
      </c>
      <c r="U111" s="10">
        <f t="shared" si="39"/>
        <v>413.91000000000076</v>
      </c>
      <c r="V111" s="10">
        <f t="shared" si="39"/>
        <v>-437</v>
      </c>
      <c r="W111" s="10">
        <f t="shared" si="39"/>
        <v>-1233</v>
      </c>
      <c r="X111" s="10">
        <f t="shared" si="39"/>
        <v>280</v>
      </c>
      <c r="Y111" s="10">
        <f t="shared" si="39"/>
        <v>2914</v>
      </c>
      <c r="Z111" s="10">
        <f t="shared" si="39"/>
        <v>2113</v>
      </c>
      <c r="AA111" s="10">
        <f t="shared" si="39"/>
        <v>6335</v>
      </c>
      <c r="AB111" s="10">
        <f t="shared" si="39"/>
        <v>10</v>
      </c>
      <c r="AC111" s="10">
        <f t="shared" si="39"/>
        <v>-32</v>
      </c>
      <c r="AD111" s="10">
        <f t="shared" si="39"/>
        <v>109</v>
      </c>
      <c r="AE111" s="10">
        <f t="shared" si="39"/>
        <v>237</v>
      </c>
      <c r="AF111" s="10">
        <f t="shared" si="39"/>
        <v>-45</v>
      </c>
      <c r="AG111" s="10">
        <f t="shared" si="39"/>
        <v>-202</v>
      </c>
      <c r="AH111" s="10">
        <f t="shared" si="39"/>
        <v>3.6399999999998727</v>
      </c>
      <c r="AI111" s="10">
        <f t="shared" si="39"/>
        <v>9.2899999999990541</v>
      </c>
      <c r="AJ111" s="10">
        <f t="shared" si="39"/>
        <v>874</v>
      </c>
      <c r="AK111" s="10">
        <f t="shared" si="39"/>
        <v>4017</v>
      </c>
      <c r="AL111" s="10">
        <f t="shared" si="39"/>
        <v>0</v>
      </c>
      <c r="AM111" s="10">
        <f t="shared" si="39"/>
        <v>-2</v>
      </c>
      <c r="AN111" s="10">
        <f t="shared" si="39"/>
        <v>-10</v>
      </c>
      <c r="AO111" s="10">
        <f t="shared" si="39"/>
        <v>-12</v>
      </c>
      <c r="AP111" s="10">
        <f t="shared" si="39"/>
        <v>9</v>
      </c>
      <c r="AQ111" s="10">
        <f t="shared" ref="AQ111" si="40">AQ122-AQ100-AQ89-AQ78-AQ67-AQ56-AQ45-AQ34-AQ23-AQ12</f>
        <v>22</v>
      </c>
      <c r="AR111" s="10">
        <f t="shared" si="39"/>
        <v>300</v>
      </c>
      <c r="AS111" s="10">
        <f t="shared" si="39"/>
        <v>1084</v>
      </c>
      <c r="AT111" s="10">
        <f t="shared" si="39"/>
        <v>23</v>
      </c>
      <c r="AU111" s="10">
        <f t="shared" si="39"/>
        <v>56</v>
      </c>
      <c r="AV111" s="10">
        <f t="shared" si="39"/>
        <v>313</v>
      </c>
      <c r="AW111" s="10">
        <f t="shared" si="39"/>
        <v>403</v>
      </c>
      <c r="AX111" s="10">
        <f t="shared" si="39"/>
        <v>14</v>
      </c>
      <c r="AY111" s="10">
        <f t="shared" si="39"/>
        <v>42</v>
      </c>
      <c r="AZ111" s="10">
        <f t="shared" si="39"/>
        <v>-4</v>
      </c>
      <c r="BA111" s="10">
        <f t="shared" si="39"/>
        <v>-6</v>
      </c>
      <c r="BB111" s="10">
        <f t="shared" si="39"/>
        <v>695</v>
      </c>
      <c r="BC111" s="10">
        <f t="shared" si="39"/>
        <v>2283</v>
      </c>
      <c r="BD111" s="10">
        <f t="shared" si="39"/>
        <v>2701</v>
      </c>
      <c r="BE111" s="10">
        <f t="shared" si="39"/>
        <v>9250</v>
      </c>
      <c r="BF111" s="10">
        <f t="shared" si="39"/>
        <v>1220</v>
      </c>
      <c r="BG111" s="10">
        <f t="shared" si="39"/>
        <v>5214</v>
      </c>
      <c r="BH111" s="10">
        <f t="shared" si="39"/>
        <v>1877</v>
      </c>
      <c r="BI111" s="10">
        <f t="shared" si="39"/>
        <v>7483</v>
      </c>
      <c r="BJ111" s="10">
        <f t="shared" si="39"/>
        <v>112</v>
      </c>
      <c r="BK111" s="10">
        <f t="shared" si="39"/>
        <v>335</v>
      </c>
      <c r="BL111" s="42">
        <f t="shared" si="21"/>
        <v>9560.6999999999989</v>
      </c>
      <c r="BM111" s="42">
        <f t="shared" si="21"/>
        <v>35017.29</v>
      </c>
    </row>
    <row r="113" spans="1:65" x14ac:dyDescent="0.25">
      <c r="A113" s="17" t="s">
        <v>40</v>
      </c>
    </row>
    <row r="114" spans="1:65" x14ac:dyDescent="0.25">
      <c r="A114" s="3" t="s">
        <v>0</v>
      </c>
      <c r="B114" s="127" t="s">
        <v>1</v>
      </c>
      <c r="C114" s="128"/>
      <c r="D114" s="127" t="s">
        <v>232</v>
      </c>
      <c r="E114" s="128"/>
      <c r="F114" s="127" t="s">
        <v>2</v>
      </c>
      <c r="G114" s="128"/>
      <c r="H114" s="127" t="s">
        <v>3</v>
      </c>
      <c r="I114" s="128"/>
      <c r="J114" s="127" t="s">
        <v>241</v>
      </c>
      <c r="K114" s="128"/>
      <c r="L114" s="127" t="s">
        <v>233</v>
      </c>
      <c r="M114" s="128"/>
      <c r="N114" s="127" t="s">
        <v>244</v>
      </c>
      <c r="O114" s="128"/>
      <c r="P114" s="127" t="s">
        <v>5</v>
      </c>
      <c r="Q114" s="128"/>
      <c r="R114" s="127" t="s">
        <v>4</v>
      </c>
      <c r="S114" s="128"/>
      <c r="T114" s="127" t="s">
        <v>6</v>
      </c>
      <c r="U114" s="128"/>
      <c r="V114" s="127" t="s">
        <v>7</v>
      </c>
      <c r="W114" s="128"/>
      <c r="X114" s="127" t="s">
        <v>8</v>
      </c>
      <c r="Y114" s="128"/>
      <c r="Z114" s="127" t="s">
        <v>9</v>
      </c>
      <c r="AA114" s="128"/>
      <c r="AB114" s="127" t="s">
        <v>240</v>
      </c>
      <c r="AC114" s="128"/>
      <c r="AD114" s="127" t="s">
        <v>10</v>
      </c>
      <c r="AE114" s="128"/>
      <c r="AF114" s="127" t="s">
        <v>11</v>
      </c>
      <c r="AG114" s="128"/>
      <c r="AH114" s="127" t="s">
        <v>234</v>
      </c>
      <c r="AI114" s="128"/>
      <c r="AJ114" s="127" t="s">
        <v>12</v>
      </c>
      <c r="AK114" s="128"/>
      <c r="AL114" s="127" t="s">
        <v>235</v>
      </c>
      <c r="AM114" s="128"/>
      <c r="AN114" s="127" t="s">
        <v>293</v>
      </c>
      <c r="AO114" s="128"/>
      <c r="AP114" s="127" t="s">
        <v>236</v>
      </c>
      <c r="AQ114" s="128"/>
      <c r="AR114" s="127" t="s">
        <v>239</v>
      </c>
      <c r="AS114" s="128"/>
      <c r="AT114" s="127" t="s">
        <v>13</v>
      </c>
      <c r="AU114" s="128"/>
      <c r="AV114" s="127" t="s">
        <v>14</v>
      </c>
      <c r="AW114" s="128"/>
      <c r="AX114" s="127" t="s">
        <v>15</v>
      </c>
      <c r="AY114" s="128"/>
      <c r="AZ114" s="127" t="s">
        <v>16</v>
      </c>
      <c r="BA114" s="128"/>
      <c r="BB114" s="127" t="s">
        <v>17</v>
      </c>
      <c r="BC114" s="128"/>
      <c r="BD114" s="127" t="s">
        <v>237</v>
      </c>
      <c r="BE114" s="128"/>
      <c r="BF114" s="127" t="s">
        <v>238</v>
      </c>
      <c r="BG114" s="128"/>
      <c r="BH114" s="127" t="s">
        <v>18</v>
      </c>
      <c r="BI114" s="128"/>
      <c r="BJ114" s="127" t="s">
        <v>19</v>
      </c>
      <c r="BK114" s="128"/>
      <c r="BL114" s="129" t="s">
        <v>20</v>
      </c>
      <c r="BM114" s="130"/>
    </row>
    <row r="115" spans="1:65" ht="30" x14ac:dyDescent="0.25">
      <c r="A115" s="3"/>
      <c r="B115" s="32" t="s">
        <v>299</v>
      </c>
      <c r="C115" s="33" t="s">
        <v>298</v>
      </c>
      <c r="D115" s="32" t="s">
        <v>299</v>
      </c>
      <c r="E115" s="33" t="s">
        <v>298</v>
      </c>
      <c r="F115" s="32" t="s">
        <v>299</v>
      </c>
      <c r="G115" s="33" t="s">
        <v>298</v>
      </c>
      <c r="H115" s="32" t="s">
        <v>299</v>
      </c>
      <c r="I115" s="33" t="s">
        <v>298</v>
      </c>
      <c r="J115" s="32" t="s">
        <v>299</v>
      </c>
      <c r="K115" s="33" t="s">
        <v>298</v>
      </c>
      <c r="L115" s="32" t="s">
        <v>299</v>
      </c>
      <c r="M115" s="33" t="s">
        <v>298</v>
      </c>
      <c r="N115" s="32" t="s">
        <v>299</v>
      </c>
      <c r="O115" s="33" t="s">
        <v>298</v>
      </c>
      <c r="P115" s="32" t="s">
        <v>299</v>
      </c>
      <c r="Q115" s="33" t="s">
        <v>298</v>
      </c>
      <c r="R115" s="32" t="s">
        <v>299</v>
      </c>
      <c r="S115" s="33" t="s">
        <v>298</v>
      </c>
      <c r="T115" s="32" t="s">
        <v>299</v>
      </c>
      <c r="U115" s="33" t="s">
        <v>298</v>
      </c>
      <c r="V115" s="32" t="s">
        <v>299</v>
      </c>
      <c r="W115" s="33" t="s">
        <v>298</v>
      </c>
      <c r="X115" s="32" t="s">
        <v>299</v>
      </c>
      <c r="Y115" s="33" t="s">
        <v>298</v>
      </c>
      <c r="Z115" s="32" t="s">
        <v>299</v>
      </c>
      <c r="AA115" s="33" t="s">
        <v>298</v>
      </c>
      <c r="AB115" s="32" t="s">
        <v>299</v>
      </c>
      <c r="AC115" s="33" t="s">
        <v>298</v>
      </c>
      <c r="AD115" s="32" t="s">
        <v>299</v>
      </c>
      <c r="AE115" s="33" t="s">
        <v>298</v>
      </c>
      <c r="AF115" s="32" t="s">
        <v>299</v>
      </c>
      <c r="AG115" s="33" t="s">
        <v>298</v>
      </c>
      <c r="AH115" s="32" t="s">
        <v>299</v>
      </c>
      <c r="AI115" s="33" t="s">
        <v>298</v>
      </c>
      <c r="AJ115" s="32" t="s">
        <v>299</v>
      </c>
      <c r="AK115" s="33" t="s">
        <v>298</v>
      </c>
      <c r="AL115" s="32" t="s">
        <v>299</v>
      </c>
      <c r="AM115" s="33" t="s">
        <v>298</v>
      </c>
      <c r="AN115" s="32" t="s">
        <v>299</v>
      </c>
      <c r="AO115" s="33" t="s">
        <v>298</v>
      </c>
      <c r="AP115" s="32" t="s">
        <v>299</v>
      </c>
      <c r="AQ115" s="33" t="s">
        <v>298</v>
      </c>
      <c r="AR115" s="32" t="s">
        <v>299</v>
      </c>
      <c r="AS115" s="33" t="s">
        <v>298</v>
      </c>
      <c r="AT115" s="32" t="s">
        <v>299</v>
      </c>
      <c r="AU115" s="33" t="s">
        <v>298</v>
      </c>
      <c r="AV115" s="32" t="s">
        <v>299</v>
      </c>
      <c r="AW115" s="33" t="s">
        <v>298</v>
      </c>
      <c r="AX115" s="32" t="s">
        <v>299</v>
      </c>
      <c r="AY115" s="33" t="s">
        <v>298</v>
      </c>
      <c r="AZ115" s="32" t="s">
        <v>299</v>
      </c>
      <c r="BA115" s="33" t="s">
        <v>298</v>
      </c>
      <c r="BB115" s="32" t="s">
        <v>299</v>
      </c>
      <c r="BC115" s="33" t="s">
        <v>298</v>
      </c>
      <c r="BD115" s="32" t="s">
        <v>299</v>
      </c>
      <c r="BE115" s="33" t="s">
        <v>298</v>
      </c>
      <c r="BF115" s="32" t="s">
        <v>299</v>
      </c>
      <c r="BG115" s="33" t="s">
        <v>298</v>
      </c>
      <c r="BH115" s="32" t="s">
        <v>299</v>
      </c>
      <c r="BI115" s="33" t="s">
        <v>298</v>
      </c>
      <c r="BJ115" s="32" t="s">
        <v>299</v>
      </c>
      <c r="BK115" s="33" t="s">
        <v>298</v>
      </c>
      <c r="BL115" s="32" t="s">
        <v>299</v>
      </c>
      <c r="BM115" s="33" t="s">
        <v>298</v>
      </c>
    </row>
    <row r="116" spans="1:65" x14ac:dyDescent="0.25">
      <c r="A116" s="9" t="s">
        <v>280</v>
      </c>
      <c r="B116" s="9">
        <v>590</v>
      </c>
      <c r="C116" s="9">
        <v>2148</v>
      </c>
      <c r="D116" s="9">
        <v>5968</v>
      </c>
      <c r="E116" s="9">
        <v>17918</v>
      </c>
      <c r="F116" s="9">
        <v>1965</v>
      </c>
      <c r="G116" s="9">
        <v>6016</v>
      </c>
      <c r="H116" s="9">
        <v>22537</v>
      </c>
      <c r="I116" s="9">
        <v>67193</v>
      </c>
      <c r="J116" s="9">
        <v>14826</v>
      </c>
      <c r="K116" s="9">
        <v>39358</v>
      </c>
      <c r="L116" s="9">
        <v>13599</v>
      </c>
      <c r="M116" s="9">
        <v>38044</v>
      </c>
      <c r="N116" s="9">
        <v>7074</v>
      </c>
      <c r="O116" s="9">
        <v>21397</v>
      </c>
      <c r="P116" s="9">
        <v>649.96</v>
      </c>
      <c r="Q116" s="9">
        <v>1501.76</v>
      </c>
      <c r="R116" s="9">
        <v>1062.97</v>
      </c>
      <c r="S116" s="9">
        <v>2721.09</v>
      </c>
      <c r="T116" s="9">
        <v>6103.18</v>
      </c>
      <c r="U116" s="9">
        <v>18632.23</v>
      </c>
      <c r="V116" s="9">
        <v>31295</v>
      </c>
      <c r="W116" s="9">
        <v>88108</v>
      </c>
      <c r="X116" s="9">
        <v>37652</v>
      </c>
      <c r="Y116" s="9">
        <v>101962</v>
      </c>
      <c r="Z116" s="9">
        <v>17537</v>
      </c>
      <c r="AA116" s="9">
        <v>49199</v>
      </c>
      <c r="AB116" s="9">
        <v>2329</v>
      </c>
      <c r="AC116" s="9">
        <v>5944</v>
      </c>
      <c r="AD116" s="9">
        <v>4419</v>
      </c>
      <c r="AE116" s="9">
        <v>11914</v>
      </c>
      <c r="AF116" s="47">
        <v>3885</v>
      </c>
      <c r="AG116" s="9">
        <v>10273</v>
      </c>
      <c r="AH116" s="9">
        <v>3014.23</v>
      </c>
      <c r="AI116" s="9">
        <v>8335.61</v>
      </c>
      <c r="AJ116" s="9"/>
      <c r="AK116" s="9"/>
      <c r="AL116" s="9">
        <v>-11</v>
      </c>
      <c r="AM116" s="9">
        <v>396</v>
      </c>
      <c r="AN116" s="9">
        <v>10128</v>
      </c>
      <c r="AO116" s="9">
        <v>27727</v>
      </c>
      <c r="AP116" s="9">
        <v>1034</v>
      </c>
      <c r="AQ116" s="9">
        <v>4177</v>
      </c>
      <c r="AR116" s="9">
        <v>13029</v>
      </c>
      <c r="AS116" s="9">
        <v>37335</v>
      </c>
      <c r="AT116" s="9">
        <v>7066</v>
      </c>
      <c r="AU116" s="9">
        <v>18957</v>
      </c>
      <c r="AV116" s="9">
        <v>16377</v>
      </c>
      <c r="AW116" s="9">
        <v>48737</v>
      </c>
      <c r="AX116" s="9">
        <v>2947</v>
      </c>
      <c r="AY116" s="9">
        <v>7649</v>
      </c>
      <c r="AZ116" s="9">
        <v>40063</v>
      </c>
      <c r="BA116" s="9">
        <v>112719</v>
      </c>
      <c r="BB116" s="9">
        <v>22816</v>
      </c>
      <c r="BC116" s="9">
        <v>64141</v>
      </c>
      <c r="BD116" s="9"/>
      <c r="BE116" s="9"/>
      <c r="BF116" s="9">
        <v>20009</v>
      </c>
      <c r="BG116" s="9">
        <v>61305</v>
      </c>
      <c r="BH116" s="9"/>
      <c r="BI116" s="9"/>
      <c r="BJ116" s="9">
        <v>5092</v>
      </c>
      <c r="BK116" s="9">
        <v>17616</v>
      </c>
      <c r="BL116" s="46">
        <f t="shared" ref="BL116:BL122" si="41">SUM(B116+D116+F116+H116+J116+L116+N116+P116+R116+T116+V116+X116+Z116+AB116+AD116+AF116+AH116+AJ116+AL116+AN116+AP116+AR116+AT116+AV116+AX116+AZ116+BB116+BD116+BF116+BH116+BJ116)</f>
        <v>313056.34000000003</v>
      </c>
      <c r="BM116" s="46">
        <f t="shared" ref="BM116:BM122" si="42">SUM(C116+E116+G116+I116+K116+M116+O116+Q116+S116+U116+W116+Y116+AA116+AC116+AE116+AG116+AI116+AK116+AM116+AO116+AQ116+AS116+AU116+AW116+AY116+BA116+BC116+BE116+BG116+BI116+BK116)</f>
        <v>891423.69</v>
      </c>
    </row>
    <row r="117" spans="1:65" x14ac:dyDescent="0.25">
      <c r="A117" s="9" t="s">
        <v>281</v>
      </c>
      <c r="B117" s="9">
        <v>52</v>
      </c>
      <c r="C117" s="9">
        <v>367</v>
      </c>
      <c r="D117" s="9">
        <v>1272</v>
      </c>
      <c r="E117" s="9">
        <v>2525</v>
      </c>
      <c r="F117" s="9">
        <v>0</v>
      </c>
      <c r="G117" s="9">
        <v>0</v>
      </c>
      <c r="H117" s="9">
        <v>4102</v>
      </c>
      <c r="I117" s="9">
        <v>6223</v>
      </c>
      <c r="J117" s="9">
        <v>4993</v>
      </c>
      <c r="K117" s="9">
        <v>14294</v>
      </c>
      <c r="L117" s="9">
        <v>1545</v>
      </c>
      <c r="M117" s="9">
        <v>1683</v>
      </c>
      <c r="N117" s="9">
        <v>1930</v>
      </c>
      <c r="O117" s="9">
        <v>5547</v>
      </c>
      <c r="P117" s="9"/>
      <c r="Q117" s="9"/>
      <c r="R117" s="9">
        <v>235.05</v>
      </c>
      <c r="S117" s="9">
        <v>503.46</v>
      </c>
      <c r="T117" s="9">
        <v>627.98</v>
      </c>
      <c r="U117" s="9">
        <v>1809.06</v>
      </c>
      <c r="V117" s="9">
        <v>5447</v>
      </c>
      <c r="W117" s="9">
        <v>16667</v>
      </c>
      <c r="X117" s="9">
        <v>7268</v>
      </c>
      <c r="Y117" s="9">
        <v>19376</v>
      </c>
      <c r="Z117" s="9">
        <v>2791</v>
      </c>
      <c r="AA117" s="9">
        <v>8813</v>
      </c>
      <c r="AB117" s="9">
        <v>285</v>
      </c>
      <c r="AC117" s="9">
        <v>838</v>
      </c>
      <c r="AD117" s="9">
        <v>1115</v>
      </c>
      <c r="AE117" s="9">
        <v>3131</v>
      </c>
      <c r="AF117" s="47">
        <v>1057</v>
      </c>
      <c r="AG117" s="9">
        <v>2751</v>
      </c>
      <c r="AH117" s="9">
        <v>678.35</v>
      </c>
      <c r="AI117" s="9">
        <v>1542.15</v>
      </c>
      <c r="AJ117" s="9"/>
      <c r="AK117" s="9"/>
      <c r="AL117" s="9"/>
      <c r="AM117" s="9">
        <v>11</v>
      </c>
      <c r="AN117" s="9">
        <v>1686</v>
      </c>
      <c r="AO117" s="9">
        <v>4722</v>
      </c>
      <c r="AP117" s="9">
        <v>104</v>
      </c>
      <c r="AQ117" s="9">
        <v>332</v>
      </c>
      <c r="AR117" s="9">
        <v>4189</v>
      </c>
      <c r="AS117" s="9">
        <v>6029</v>
      </c>
      <c r="AT117" s="9">
        <v>1936</v>
      </c>
      <c r="AU117" s="9">
        <v>4533</v>
      </c>
      <c r="AV117" s="9">
        <v>2006</v>
      </c>
      <c r="AW117" s="9">
        <v>6704</v>
      </c>
      <c r="AX117" s="9">
        <v>379</v>
      </c>
      <c r="AY117" s="9">
        <v>1081</v>
      </c>
      <c r="AZ117" s="9">
        <v>3554</v>
      </c>
      <c r="BA117" s="9">
        <v>8384</v>
      </c>
      <c r="BB117" s="9">
        <v>7060</v>
      </c>
      <c r="BC117" s="9">
        <v>17613</v>
      </c>
      <c r="BD117" s="9"/>
      <c r="BE117" s="9"/>
      <c r="BF117" s="9">
        <v>5155</v>
      </c>
      <c r="BG117" s="9">
        <v>13520</v>
      </c>
      <c r="BH117" s="9"/>
      <c r="BI117" s="9"/>
      <c r="BJ117" s="9">
        <v>1000</v>
      </c>
      <c r="BK117" s="9">
        <v>3535</v>
      </c>
      <c r="BL117" s="46">
        <f t="shared" si="41"/>
        <v>60467.38</v>
      </c>
      <c r="BM117" s="46">
        <f t="shared" si="42"/>
        <v>152533.66999999998</v>
      </c>
    </row>
    <row r="118" spans="1:65" x14ac:dyDescent="0.25">
      <c r="A118" s="9" t="s">
        <v>282</v>
      </c>
      <c r="B118" s="9"/>
      <c r="C118" s="9"/>
      <c r="D118" s="9"/>
      <c r="E118" s="9"/>
      <c r="F118" s="9">
        <v>0</v>
      </c>
      <c r="G118" s="9">
        <v>0</v>
      </c>
      <c r="H118" s="9">
        <v>527</v>
      </c>
      <c r="I118" s="9">
        <v>1250</v>
      </c>
      <c r="J118" s="9"/>
      <c r="K118" s="9"/>
      <c r="L118" s="9">
        <v>32</v>
      </c>
      <c r="M118" s="9">
        <v>97</v>
      </c>
      <c r="N118" s="9">
        <v>188</v>
      </c>
      <c r="O118" s="9">
        <v>480</v>
      </c>
      <c r="P118" s="9"/>
      <c r="Q118" s="9"/>
      <c r="R118" s="9"/>
      <c r="S118" s="9"/>
      <c r="T118" s="9">
        <v>97.2</v>
      </c>
      <c r="U118" s="9">
        <v>287.45999999999998</v>
      </c>
      <c r="V118" s="9">
        <v>262</v>
      </c>
      <c r="W118" s="9">
        <v>1103</v>
      </c>
      <c r="X118" s="9">
        <v>1711</v>
      </c>
      <c r="Y118" s="9">
        <v>4289</v>
      </c>
      <c r="Z118" s="9">
        <v>343</v>
      </c>
      <c r="AA118" s="9">
        <v>867</v>
      </c>
      <c r="AB118" s="9"/>
      <c r="AC118" s="9"/>
      <c r="AD118" s="9">
        <v>-192</v>
      </c>
      <c r="AE118" s="9"/>
      <c r="AF118" s="47">
        <v>38</v>
      </c>
      <c r="AG118" s="9">
        <v>107</v>
      </c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>
        <v>-1794</v>
      </c>
      <c r="AS118" s="9">
        <v>588</v>
      </c>
      <c r="AT118" s="9">
        <v>38</v>
      </c>
      <c r="AU118" s="9">
        <v>121</v>
      </c>
      <c r="AV118" s="9">
        <v>0</v>
      </c>
      <c r="AW118" s="9">
        <v>1</v>
      </c>
      <c r="AX118" s="9">
        <v>28</v>
      </c>
      <c r="AY118" s="9">
        <v>73</v>
      </c>
      <c r="AZ118" s="9"/>
      <c r="BA118" s="9"/>
      <c r="BB118" s="9">
        <v>3147</v>
      </c>
      <c r="BC118" s="9">
        <v>8680</v>
      </c>
      <c r="BD118" s="9"/>
      <c r="BE118" s="9"/>
      <c r="BF118" s="9">
        <v>1243</v>
      </c>
      <c r="BG118" s="9">
        <v>2877</v>
      </c>
      <c r="BH118" s="9"/>
      <c r="BI118" s="9"/>
      <c r="BJ118" s="9"/>
      <c r="BK118" s="9"/>
      <c r="BL118" s="46">
        <f t="shared" si="41"/>
        <v>5668.2</v>
      </c>
      <c r="BM118" s="46">
        <f t="shared" si="42"/>
        <v>20820.46</v>
      </c>
    </row>
    <row r="119" spans="1:65" s="7" customFormat="1" x14ac:dyDescent="0.25">
      <c r="A119" s="10" t="s">
        <v>283</v>
      </c>
      <c r="B119" s="10">
        <v>642</v>
      </c>
      <c r="C119" s="10">
        <v>2515</v>
      </c>
      <c r="D119" s="10">
        <v>7240</v>
      </c>
      <c r="E119" s="10">
        <v>20443</v>
      </c>
      <c r="F119" s="10">
        <v>1965</v>
      </c>
      <c r="G119" s="10">
        <v>6016</v>
      </c>
      <c r="H119" s="10">
        <v>27166</v>
      </c>
      <c r="I119" s="10">
        <v>74667</v>
      </c>
      <c r="J119" s="10">
        <v>19819</v>
      </c>
      <c r="K119" s="10">
        <v>53652</v>
      </c>
      <c r="L119" s="10">
        <v>15175</v>
      </c>
      <c r="M119" s="10">
        <v>39824</v>
      </c>
      <c r="N119" s="10">
        <v>9192</v>
      </c>
      <c r="O119" s="10">
        <v>27424</v>
      </c>
      <c r="P119" s="10">
        <v>649.96</v>
      </c>
      <c r="Q119" s="10">
        <v>1501.76</v>
      </c>
      <c r="R119" s="10">
        <v>1298.02</v>
      </c>
      <c r="S119" s="10">
        <v>3224.55</v>
      </c>
      <c r="T119" s="10">
        <v>6828.36</v>
      </c>
      <c r="U119" s="10">
        <v>20728.75</v>
      </c>
      <c r="V119" s="10">
        <v>37004</v>
      </c>
      <c r="W119" s="10">
        <v>105878</v>
      </c>
      <c r="X119" s="10">
        <v>46631</v>
      </c>
      <c r="Y119" s="10">
        <v>125627</v>
      </c>
      <c r="Z119" s="10">
        <v>20671</v>
      </c>
      <c r="AA119" s="10">
        <v>58879</v>
      </c>
      <c r="AB119" s="10">
        <v>2614</v>
      </c>
      <c r="AC119" s="10">
        <v>6782</v>
      </c>
      <c r="AD119" s="10">
        <v>5342</v>
      </c>
      <c r="AE119" s="10">
        <v>15045</v>
      </c>
      <c r="AF119" s="10">
        <v>4980</v>
      </c>
      <c r="AG119" s="10">
        <v>13132</v>
      </c>
      <c r="AH119" s="10">
        <v>3692.58</v>
      </c>
      <c r="AI119" s="10">
        <v>9877.76</v>
      </c>
      <c r="AJ119" s="10">
        <v>25011</v>
      </c>
      <c r="AK119" s="10">
        <v>73953</v>
      </c>
      <c r="AL119" s="10">
        <v>-11</v>
      </c>
      <c r="AM119" s="10">
        <v>407</v>
      </c>
      <c r="AN119" s="10">
        <v>11813</v>
      </c>
      <c r="AO119" s="10">
        <v>32448</v>
      </c>
      <c r="AP119" s="10">
        <v>1138</v>
      </c>
      <c r="AQ119" s="10">
        <v>4510</v>
      </c>
      <c r="AR119" s="10">
        <v>15425</v>
      </c>
      <c r="AS119" s="10">
        <v>43953</v>
      </c>
      <c r="AT119" s="10">
        <v>9039</v>
      </c>
      <c r="AU119" s="10">
        <v>23611</v>
      </c>
      <c r="AV119" s="10">
        <v>18382</v>
      </c>
      <c r="AW119" s="10">
        <v>55442</v>
      </c>
      <c r="AX119" s="10">
        <v>3353</v>
      </c>
      <c r="AY119" s="10">
        <v>8803</v>
      </c>
      <c r="AZ119" s="10">
        <v>43617</v>
      </c>
      <c r="BA119" s="10">
        <v>121102</v>
      </c>
      <c r="BB119" s="10">
        <v>33024</v>
      </c>
      <c r="BC119" s="10">
        <v>90434</v>
      </c>
      <c r="BD119" s="10">
        <v>69924</v>
      </c>
      <c r="BE119" s="10">
        <v>212910</v>
      </c>
      <c r="BF119" s="10">
        <v>26408</v>
      </c>
      <c r="BG119" s="10">
        <v>77702</v>
      </c>
      <c r="BH119" s="10">
        <v>27522</v>
      </c>
      <c r="BI119" s="10">
        <v>87461</v>
      </c>
      <c r="BJ119" s="10">
        <v>6092</v>
      </c>
      <c r="BK119" s="10">
        <v>21152</v>
      </c>
      <c r="BL119" s="42">
        <f t="shared" si="41"/>
        <v>501646.92000000004</v>
      </c>
      <c r="BM119" s="42">
        <f t="shared" si="42"/>
        <v>1439104.82</v>
      </c>
    </row>
    <row r="120" spans="1:65" x14ac:dyDescent="0.25">
      <c r="A120" s="9" t="s">
        <v>284</v>
      </c>
      <c r="B120" s="9"/>
      <c r="C120" s="9"/>
      <c r="D120" s="9"/>
      <c r="E120" s="9"/>
      <c r="F120" s="9">
        <v>1</v>
      </c>
      <c r="G120" s="9">
        <v>7</v>
      </c>
      <c r="H120" s="9">
        <v>468</v>
      </c>
      <c r="I120" s="9">
        <v>1270</v>
      </c>
      <c r="J120" s="9">
        <v>-24</v>
      </c>
      <c r="K120" s="9">
        <v>31</v>
      </c>
      <c r="L120" s="9">
        <v>31</v>
      </c>
      <c r="M120" s="9">
        <v>87</v>
      </c>
      <c r="N120" s="9">
        <v>1654</v>
      </c>
      <c r="O120" s="9">
        <v>5435</v>
      </c>
      <c r="P120" s="9"/>
      <c r="Q120" s="9"/>
      <c r="R120" s="9">
        <v>70.069999999999993</v>
      </c>
      <c r="S120" s="9">
        <v>191.93</v>
      </c>
      <c r="T120" s="9">
        <v>35.119999999999997</v>
      </c>
      <c r="U120" s="9">
        <v>543.9</v>
      </c>
      <c r="V120" s="9">
        <v>543</v>
      </c>
      <c r="W120" s="9">
        <v>2118</v>
      </c>
      <c r="X120" s="9">
        <v>3396</v>
      </c>
      <c r="Y120" s="9">
        <v>6576</v>
      </c>
      <c r="Z120" s="9">
        <v>503</v>
      </c>
      <c r="AA120" s="9">
        <v>1456</v>
      </c>
      <c r="AB120" s="9">
        <v>10</v>
      </c>
      <c r="AC120" s="9">
        <v>76</v>
      </c>
      <c r="AD120" s="9">
        <v>75</v>
      </c>
      <c r="AE120" s="9">
        <v>119</v>
      </c>
      <c r="AF120" s="47">
        <v>145</v>
      </c>
      <c r="AG120" s="9">
        <v>655</v>
      </c>
      <c r="AH120" s="9"/>
      <c r="AI120" s="9"/>
      <c r="AJ120" s="9">
        <v>1246</v>
      </c>
      <c r="AK120" s="9">
        <v>3203</v>
      </c>
      <c r="AL120" s="9">
        <v>6</v>
      </c>
      <c r="AM120" s="9">
        <v>11</v>
      </c>
      <c r="AN120" s="9"/>
      <c r="AO120" s="9"/>
      <c r="AP120" s="9">
        <v>87</v>
      </c>
      <c r="AQ120" s="9">
        <v>193</v>
      </c>
      <c r="AR120" s="9">
        <v>298</v>
      </c>
      <c r="AS120" s="9">
        <v>960</v>
      </c>
      <c r="AT120" s="9">
        <v>302</v>
      </c>
      <c r="AU120" s="9">
        <v>1456</v>
      </c>
      <c r="AV120" s="9">
        <v>93</v>
      </c>
      <c r="AW120" s="9">
        <v>448</v>
      </c>
      <c r="AX120" s="9">
        <v>79</v>
      </c>
      <c r="AY120" s="9">
        <v>141</v>
      </c>
      <c r="AZ120" s="9"/>
      <c r="BA120" s="9"/>
      <c r="BB120" s="9">
        <v>562</v>
      </c>
      <c r="BC120" s="9">
        <v>2134</v>
      </c>
      <c r="BD120" s="9">
        <v>5116</v>
      </c>
      <c r="BE120" s="9">
        <v>15242</v>
      </c>
      <c r="BF120" s="9">
        <v>1260</v>
      </c>
      <c r="BG120" s="9">
        <v>4889</v>
      </c>
      <c r="BH120" s="9">
        <v>1740</v>
      </c>
      <c r="BI120" s="9">
        <v>2709</v>
      </c>
      <c r="BJ120" s="9">
        <v>74</v>
      </c>
      <c r="BK120" s="9">
        <v>336</v>
      </c>
      <c r="BL120" s="46">
        <f t="shared" si="41"/>
        <v>17770.190000000002</v>
      </c>
      <c r="BM120" s="46">
        <f t="shared" si="42"/>
        <v>50287.83</v>
      </c>
    </row>
    <row r="121" spans="1:65" x14ac:dyDescent="0.25">
      <c r="A121" s="9" t="s">
        <v>285</v>
      </c>
      <c r="B121" s="9">
        <v>716</v>
      </c>
      <c r="C121" s="9">
        <v>2258</v>
      </c>
      <c r="D121" s="9">
        <v>3270</v>
      </c>
      <c r="E121" s="9">
        <v>12408</v>
      </c>
      <c r="F121" s="9">
        <v>2188</v>
      </c>
      <c r="G121" s="9">
        <v>10922</v>
      </c>
      <c r="H121" s="9">
        <v>-33399</v>
      </c>
      <c r="I121" s="9">
        <v>-106286</v>
      </c>
      <c r="J121" s="9">
        <v>6371</v>
      </c>
      <c r="K121" s="9">
        <v>19841</v>
      </c>
      <c r="L121" s="9">
        <v>11414</v>
      </c>
      <c r="M121" s="9">
        <v>29174</v>
      </c>
      <c r="N121" s="9">
        <v>-10119</v>
      </c>
      <c r="O121" s="9">
        <v>-23359</v>
      </c>
      <c r="P121" s="9">
        <v>771.57</v>
      </c>
      <c r="Q121" s="9">
        <v>2170.66</v>
      </c>
      <c r="R121" s="9">
        <v>1301.45</v>
      </c>
      <c r="S121" s="9">
        <v>2958.61</v>
      </c>
      <c r="T121" s="9">
        <v>6055.24</v>
      </c>
      <c r="U121" s="9">
        <v>17968.849999999999</v>
      </c>
      <c r="V121" s="9">
        <v>-38989</v>
      </c>
      <c r="W121" s="9">
        <v>-124619</v>
      </c>
      <c r="X121" s="9">
        <v>32586</v>
      </c>
      <c r="Y121" s="9">
        <v>94118</v>
      </c>
      <c r="Z121" s="9">
        <v>8563</v>
      </c>
      <c r="AA121" s="9">
        <v>24485</v>
      </c>
      <c r="AB121" s="9">
        <v>1553</v>
      </c>
      <c r="AC121" s="9">
        <v>5135</v>
      </c>
      <c r="AD121" s="9">
        <v>535</v>
      </c>
      <c r="AE121" s="9">
        <v>2580</v>
      </c>
      <c r="AF121" s="47">
        <v>-2622</v>
      </c>
      <c r="AG121" s="9">
        <v>-6837</v>
      </c>
      <c r="AH121" s="9">
        <v>166.58</v>
      </c>
      <c r="AI121" s="9">
        <v>458.75</v>
      </c>
      <c r="AJ121" s="9">
        <v>3821</v>
      </c>
      <c r="AK121" s="9">
        <v>13472</v>
      </c>
      <c r="AL121" s="9">
        <v>-31</v>
      </c>
      <c r="AM121" s="9">
        <v>-93</v>
      </c>
      <c r="AN121" s="9">
        <v>7952</v>
      </c>
      <c r="AO121" s="9">
        <v>23121</v>
      </c>
      <c r="AP121" s="9">
        <v>263</v>
      </c>
      <c r="AQ121" s="9">
        <v>608</v>
      </c>
      <c r="AR121" s="9">
        <v>19856</v>
      </c>
      <c r="AS121" s="9">
        <v>59532</v>
      </c>
      <c r="AT121" s="9">
        <v>3490</v>
      </c>
      <c r="AU121" s="9">
        <v>14792</v>
      </c>
      <c r="AV121" s="9">
        <v>12679</v>
      </c>
      <c r="AW121" s="9">
        <v>44735</v>
      </c>
      <c r="AX121" s="9">
        <v>402</v>
      </c>
      <c r="AY121" s="9">
        <v>980</v>
      </c>
      <c r="AZ121" s="9">
        <v>3353</v>
      </c>
      <c r="BA121" s="9">
        <v>9002</v>
      </c>
      <c r="BB121" s="9">
        <v>19478</v>
      </c>
      <c r="BC121" s="9">
        <v>57195</v>
      </c>
      <c r="BD121" s="9">
        <v>14059</v>
      </c>
      <c r="BE121" s="9">
        <v>53192</v>
      </c>
      <c r="BF121" s="9">
        <v>4812</v>
      </c>
      <c r="BG121" s="9">
        <v>14409</v>
      </c>
      <c r="BH121" s="9">
        <v>3672</v>
      </c>
      <c r="BI121" s="9">
        <v>13939</v>
      </c>
      <c r="BJ121" s="9">
        <v>9534</v>
      </c>
      <c r="BK121" s="9">
        <v>21800</v>
      </c>
      <c r="BL121" s="46">
        <f t="shared" si="41"/>
        <v>93701.84</v>
      </c>
      <c r="BM121" s="46">
        <f t="shared" si="42"/>
        <v>290060.87</v>
      </c>
    </row>
    <row r="122" spans="1:65" s="7" customFormat="1" x14ac:dyDescent="0.25">
      <c r="A122" s="10" t="s">
        <v>190</v>
      </c>
      <c r="B122" s="10">
        <v>-74</v>
      </c>
      <c r="C122" s="10">
        <v>257</v>
      </c>
      <c r="D122" s="10">
        <v>3969</v>
      </c>
      <c r="E122" s="10">
        <v>8035</v>
      </c>
      <c r="F122" s="10">
        <v>-222</v>
      </c>
      <c r="G122" s="10">
        <v>-4899</v>
      </c>
      <c r="H122" s="10">
        <v>-5764</v>
      </c>
      <c r="I122" s="10">
        <v>-30350</v>
      </c>
      <c r="J122" s="10">
        <v>13424</v>
      </c>
      <c r="K122" s="10">
        <v>33842</v>
      </c>
      <c r="L122" s="10">
        <v>3793</v>
      </c>
      <c r="M122" s="10">
        <v>10736</v>
      </c>
      <c r="N122" s="10">
        <v>727</v>
      </c>
      <c r="O122" s="10">
        <v>9500</v>
      </c>
      <c r="P122" s="10">
        <v>-121.61</v>
      </c>
      <c r="Q122" s="10">
        <v>-668.9</v>
      </c>
      <c r="R122" s="10">
        <v>66.64</v>
      </c>
      <c r="S122" s="10">
        <v>457.87</v>
      </c>
      <c r="T122" s="10">
        <v>808.24</v>
      </c>
      <c r="U122" s="10">
        <v>3303.81</v>
      </c>
      <c r="V122" s="10">
        <v>-1442</v>
      </c>
      <c r="W122" s="10">
        <v>-16624</v>
      </c>
      <c r="X122" s="10">
        <v>17441</v>
      </c>
      <c r="Y122" s="10">
        <v>38085</v>
      </c>
      <c r="Z122" s="10">
        <v>12611</v>
      </c>
      <c r="AA122" s="10">
        <v>35850</v>
      </c>
      <c r="AB122" s="10">
        <v>1072</v>
      </c>
      <c r="AC122" s="10">
        <v>1722</v>
      </c>
      <c r="AD122" s="10">
        <v>4881</v>
      </c>
      <c r="AE122" s="10">
        <v>12584</v>
      </c>
      <c r="AF122" s="10">
        <v>2503</v>
      </c>
      <c r="AG122" s="10">
        <v>6950</v>
      </c>
      <c r="AH122" s="10">
        <v>3526</v>
      </c>
      <c r="AI122" s="10">
        <v>9419.01</v>
      </c>
      <c r="AJ122" s="10">
        <v>22436</v>
      </c>
      <c r="AK122" s="10">
        <v>63683</v>
      </c>
      <c r="AL122" s="10">
        <v>-36</v>
      </c>
      <c r="AM122" s="10">
        <v>325</v>
      </c>
      <c r="AN122" s="10">
        <v>3861</v>
      </c>
      <c r="AO122" s="10">
        <v>9327</v>
      </c>
      <c r="AP122" s="10">
        <v>963</v>
      </c>
      <c r="AQ122" s="10">
        <v>4095</v>
      </c>
      <c r="AR122" s="10">
        <v>-4134</v>
      </c>
      <c r="AS122" s="10">
        <v>-14619</v>
      </c>
      <c r="AT122" s="10">
        <v>5851</v>
      </c>
      <c r="AU122" s="10">
        <v>10275</v>
      </c>
      <c r="AV122" s="10">
        <v>5797</v>
      </c>
      <c r="AW122" s="10">
        <v>11154</v>
      </c>
      <c r="AX122" s="10">
        <v>3031</v>
      </c>
      <c r="AY122" s="10">
        <v>7963</v>
      </c>
      <c r="AZ122" s="10">
        <v>40264</v>
      </c>
      <c r="BA122" s="10">
        <v>112100</v>
      </c>
      <c r="BB122" s="10">
        <v>14108</v>
      </c>
      <c r="BC122" s="10">
        <v>35373</v>
      </c>
      <c r="BD122" s="10">
        <v>60981</v>
      </c>
      <c r="BE122" s="10">
        <v>174960</v>
      </c>
      <c r="BF122" s="10">
        <v>22855</v>
      </c>
      <c r="BG122" s="10">
        <v>68182</v>
      </c>
      <c r="BH122" s="10">
        <v>25591</v>
      </c>
      <c r="BI122" s="10">
        <v>76230</v>
      </c>
      <c r="BJ122" s="10">
        <v>-3368</v>
      </c>
      <c r="BK122" s="10">
        <v>-312</v>
      </c>
      <c r="BL122" s="42">
        <f t="shared" si="41"/>
        <v>255398.27000000002</v>
      </c>
      <c r="BM122" s="42">
        <f t="shared" si="42"/>
        <v>676935.79</v>
      </c>
    </row>
  </sheetData>
  <mergeCells count="352">
    <mergeCell ref="BD37:BE37"/>
    <mergeCell ref="BF37:BG37"/>
    <mergeCell ref="BH37:BI37"/>
    <mergeCell ref="BJ37:BK37"/>
    <mergeCell ref="BL37:BM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AV70:AW70"/>
    <mergeCell ref="AX70:AY70"/>
    <mergeCell ref="AZ70:BA70"/>
    <mergeCell ref="BB70:BC70"/>
    <mergeCell ref="P70:Q70"/>
    <mergeCell ref="R70:S70"/>
    <mergeCell ref="T70:U70"/>
    <mergeCell ref="BJ59:BK59"/>
    <mergeCell ref="BL59:BM59"/>
    <mergeCell ref="BD59:BE59"/>
    <mergeCell ref="BJ70:BK70"/>
    <mergeCell ref="BL70:BM70"/>
    <mergeCell ref="T59:U59"/>
    <mergeCell ref="BF59:BG59"/>
    <mergeCell ref="BH59:BI59"/>
    <mergeCell ref="AV59:AW59"/>
    <mergeCell ref="AX59:AY59"/>
    <mergeCell ref="AZ59:BA59"/>
    <mergeCell ref="BB59:BC59"/>
    <mergeCell ref="AH59:AI59"/>
    <mergeCell ref="AJ59:AK59"/>
    <mergeCell ref="AL59:AM59"/>
    <mergeCell ref="AN59:AO59"/>
    <mergeCell ref="AP59:AQ59"/>
    <mergeCell ref="L48:M48"/>
    <mergeCell ref="N48:O48"/>
    <mergeCell ref="AB59:AC59"/>
    <mergeCell ref="AR48:AS48"/>
    <mergeCell ref="B70:C70"/>
    <mergeCell ref="D70:E70"/>
    <mergeCell ref="F70:G70"/>
    <mergeCell ref="H70:I70"/>
    <mergeCell ref="P48:Q48"/>
    <mergeCell ref="R48:S48"/>
    <mergeCell ref="T48:U48"/>
    <mergeCell ref="AT59:AU59"/>
    <mergeCell ref="V59:W59"/>
    <mergeCell ref="X59:Y59"/>
    <mergeCell ref="Z59:AA59"/>
    <mergeCell ref="AD59:AE59"/>
    <mergeCell ref="AF59:AG59"/>
    <mergeCell ref="L59:M59"/>
    <mergeCell ref="N59:O59"/>
    <mergeCell ref="P59:Q59"/>
    <mergeCell ref="R59:S59"/>
    <mergeCell ref="AR59:AS59"/>
    <mergeCell ref="BJ26:BK26"/>
    <mergeCell ref="B59:C59"/>
    <mergeCell ref="D59:E59"/>
    <mergeCell ref="F59:G59"/>
    <mergeCell ref="H59:I59"/>
    <mergeCell ref="J59:K59"/>
    <mergeCell ref="BD48:BE48"/>
    <mergeCell ref="BF48:BG48"/>
    <mergeCell ref="BH48:BI48"/>
    <mergeCell ref="AF48:AG48"/>
    <mergeCell ref="AH48:AI48"/>
    <mergeCell ref="AJ48:AK48"/>
    <mergeCell ref="AL48:AM48"/>
    <mergeCell ref="AN48:AO48"/>
    <mergeCell ref="AP48:AQ48"/>
    <mergeCell ref="V48:W48"/>
    <mergeCell ref="X48:Y48"/>
    <mergeCell ref="Z48:AA48"/>
    <mergeCell ref="AB48:AC48"/>
    <mergeCell ref="AD48:AE48"/>
    <mergeCell ref="J48:K48"/>
    <mergeCell ref="BJ48:BK48"/>
    <mergeCell ref="AH26:AI26"/>
    <mergeCell ref="AJ26:AK26"/>
    <mergeCell ref="BL48:BM48"/>
    <mergeCell ref="AD26:AE26"/>
    <mergeCell ref="AF26:AG26"/>
    <mergeCell ref="AT48:AU48"/>
    <mergeCell ref="AV48:AW48"/>
    <mergeCell ref="AX48:AY48"/>
    <mergeCell ref="AZ48:BA48"/>
    <mergeCell ref="BB48:BC48"/>
    <mergeCell ref="B26:C26"/>
    <mergeCell ref="D26:E26"/>
    <mergeCell ref="F26:G26"/>
    <mergeCell ref="H26:I26"/>
    <mergeCell ref="J26:K26"/>
    <mergeCell ref="BL26:BM26"/>
    <mergeCell ref="B48:C48"/>
    <mergeCell ref="D48:E48"/>
    <mergeCell ref="F48:G48"/>
    <mergeCell ref="H48:I48"/>
    <mergeCell ref="AT26:AU26"/>
    <mergeCell ref="AV26:AW26"/>
    <mergeCell ref="AX26:AY26"/>
    <mergeCell ref="AZ26:BA26"/>
    <mergeCell ref="BB26:BC26"/>
    <mergeCell ref="BD26:BE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  <ignoredErrors>
    <ignoredError sqref="BM10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6" customWidth="1"/>
    <col min="2" max="31" width="16" style="6" customWidth="1"/>
    <col min="32" max="32" width="16" style="7" customWidth="1"/>
    <col min="33" max="65" width="16" style="6" customWidth="1"/>
    <col min="66" max="16384" width="9.140625" style="6"/>
  </cols>
  <sheetData>
    <row r="1" spans="1:65" ht="18.75" x14ac:dyDescent="0.3">
      <c r="A1" s="4" t="s">
        <v>169</v>
      </c>
    </row>
    <row r="2" spans="1:65" x14ac:dyDescent="0.25">
      <c r="A2" s="5" t="s">
        <v>98</v>
      </c>
    </row>
    <row r="3" spans="1:65" x14ac:dyDescent="0.25">
      <c r="A3" s="86" t="s">
        <v>0</v>
      </c>
      <c r="B3" s="131" t="s">
        <v>1</v>
      </c>
      <c r="C3" s="131"/>
      <c r="D3" s="131" t="s">
        <v>232</v>
      </c>
      <c r="E3" s="131"/>
      <c r="F3" s="131" t="s">
        <v>2</v>
      </c>
      <c r="G3" s="131"/>
      <c r="H3" s="131" t="s">
        <v>3</v>
      </c>
      <c r="I3" s="131"/>
      <c r="J3" s="131" t="s">
        <v>241</v>
      </c>
      <c r="K3" s="131"/>
      <c r="L3" s="131" t="s">
        <v>233</v>
      </c>
      <c r="M3" s="131"/>
      <c r="N3" s="131" t="s">
        <v>244</v>
      </c>
      <c r="O3" s="131"/>
      <c r="P3" s="131" t="s">
        <v>5</v>
      </c>
      <c r="Q3" s="131"/>
      <c r="R3" s="131" t="s">
        <v>4</v>
      </c>
      <c r="S3" s="131"/>
      <c r="T3" s="131" t="s">
        <v>6</v>
      </c>
      <c r="U3" s="131"/>
      <c r="V3" s="131" t="s">
        <v>7</v>
      </c>
      <c r="W3" s="131"/>
      <c r="X3" s="131" t="s">
        <v>8</v>
      </c>
      <c r="Y3" s="131"/>
      <c r="Z3" s="131" t="s">
        <v>9</v>
      </c>
      <c r="AA3" s="131"/>
      <c r="AB3" s="131" t="s">
        <v>240</v>
      </c>
      <c r="AC3" s="131"/>
      <c r="AD3" s="131" t="s">
        <v>10</v>
      </c>
      <c r="AE3" s="131"/>
      <c r="AF3" s="131" t="s">
        <v>11</v>
      </c>
      <c r="AG3" s="131"/>
      <c r="AH3" s="131" t="s">
        <v>234</v>
      </c>
      <c r="AI3" s="131"/>
      <c r="AJ3" s="131" t="s">
        <v>12</v>
      </c>
      <c r="AK3" s="131"/>
      <c r="AL3" s="131" t="s">
        <v>235</v>
      </c>
      <c r="AM3" s="131"/>
      <c r="AN3" s="131" t="s">
        <v>293</v>
      </c>
      <c r="AO3" s="131"/>
      <c r="AP3" s="131" t="s">
        <v>236</v>
      </c>
      <c r="AQ3" s="131"/>
      <c r="AR3" s="131" t="s">
        <v>239</v>
      </c>
      <c r="AS3" s="131"/>
      <c r="AT3" s="131" t="s">
        <v>13</v>
      </c>
      <c r="AU3" s="131"/>
      <c r="AV3" s="131" t="s">
        <v>14</v>
      </c>
      <c r="AW3" s="131"/>
      <c r="AX3" s="131" t="s">
        <v>15</v>
      </c>
      <c r="AY3" s="131"/>
      <c r="AZ3" s="131" t="s">
        <v>16</v>
      </c>
      <c r="BA3" s="131"/>
      <c r="BB3" s="131" t="s">
        <v>17</v>
      </c>
      <c r="BC3" s="131"/>
      <c r="BD3" s="131" t="s">
        <v>237</v>
      </c>
      <c r="BE3" s="131"/>
      <c r="BF3" s="131" t="s">
        <v>238</v>
      </c>
      <c r="BG3" s="131"/>
      <c r="BH3" s="131" t="s">
        <v>18</v>
      </c>
      <c r="BI3" s="131"/>
      <c r="BJ3" s="131" t="s">
        <v>19</v>
      </c>
      <c r="BK3" s="131"/>
      <c r="BL3" s="132" t="s">
        <v>20</v>
      </c>
      <c r="BM3" s="132"/>
    </row>
    <row r="4" spans="1:65" ht="30" x14ac:dyDescent="0.25">
      <c r="A4" s="86"/>
      <c r="B4" s="99" t="s">
        <v>299</v>
      </c>
      <c r="C4" s="100" t="s">
        <v>298</v>
      </c>
      <c r="D4" s="99" t="s">
        <v>299</v>
      </c>
      <c r="E4" s="100" t="s">
        <v>298</v>
      </c>
      <c r="F4" s="99" t="s">
        <v>299</v>
      </c>
      <c r="G4" s="100" t="s">
        <v>298</v>
      </c>
      <c r="H4" s="99" t="s">
        <v>299</v>
      </c>
      <c r="I4" s="100" t="s">
        <v>298</v>
      </c>
      <c r="J4" s="99" t="s">
        <v>299</v>
      </c>
      <c r="K4" s="100" t="s">
        <v>298</v>
      </c>
      <c r="L4" s="99" t="s">
        <v>299</v>
      </c>
      <c r="M4" s="100" t="s">
        <v>298</v>
      </c>
      <c r="N4" s="99" t="s">
        <v>299</v>
      </c>
      <c r="O4" s="100" t="s">
        <v>298</v>
      </c>
      <c r="P4" s="99" t="s">
        <v>299</v>
      </c>
      <c r="Q4" s="100" t="s">
        <v>298</v>
      </c>
      <c r="R4" s="99" t="s">
        <v>299</v>
      </c>
      <c r="S4" s="100" t="s">
        <v>298</v>
      </c>
      <c r="T4" s="99" t="s">
        <v>299</v>
      </c>
      <c r="U4" s="100" t="s">
        <v>298</v>
      </c>
      <c r="V4" s="99" t="s">
        <v>299</v>
      </c>
      <c r="W4" s="100" t="s">
        <v>298</v>
      </c>
      <c r="X4" s="99" t="s">
        <v>299</v>
      </c>
      <c r="Y4" s="100" t="s">
        <v>298</v>
      </c>
      <c r="Z4" s="99" t="s">
        <v>299</v>
      </c>
      <c r="AA4" s="100" t="s">
        <v>298</v>
      </c>
      <c r="AB4" s="99" t="s">
        <v>299</v>
      </c>
      <c r="AC4" s="100" t="s">
        <v>298</v>
      </c>
      <c r="AD4" s="99" t="s">
        <v>299</v>
      </c>
      <c r="AE4" s="100" t="s">
        <v>298</v>
      </c>
      <c r="AF4" s="99" t="s">
        <v>299</v>
      </c>
      <c r="AG4" s="100" t="s">
        <v>298</v>
      </c>
      <c r="AH4" s="99" t="s">
        <v>299</v>
      </c>
      <c r="AI4" s="100" t="s">
        <v>298</v>
      </c>
      <c r="AJ4" s="99" t="s">
        <v>299</v>
      </c>
      <c r="AK4" s="100" t="s">
        <v>298</v>
      </c>
      <c r="AL4" s="99" t="s">
        <v>299</v>
      </c>
      <c r="AM4" s="100" t="s">
        <v>298</v>
      </c>
      <c r="AN4" s="99" t="s">
        <v>299</v>
      </c>
      <c r="AO4" s="100" t="s">
        <v>298</v>
      </c>
      <c r="AP4" s="99" t="s">
        <v>299</v>
      </c>
      <c r="AQ4" s="100" t="s">
        <v>298</v>
      </c>
      <c r="AR4" s="99" t="s">
        <v>299</v>
      </c>
      <c r="AS4" s="100" t="s">
        <v>298</v>
      </c>
      <c r="AT4" s="99" t="s">
        <v>299</v>
      </c>
      <c r="AU4" s="100" t="s">
        <v>298</v>
      </c>
      <c r="AV4" s="99" t="s">
        <v>299</v>
      </c>
      <c r="AW4" s="100" t="s">
        <v>298</v>
      </c>
      <c r="AX4" s="99" t="s">
        <v>299</v>
      </c>
      <c r="AY4" s="100" t="s">
        <v>298</v>
      </c>
      <c r="AZ4" s="99" t="s">
        <v>299</v>
      </c>
      <c r="BA4" s="100" t="s">
        <v>298</v>
      </c>
      <c r="BB4" s="99" t="s">
        <v>299</v>
      </c>
      <c r="BC4" s="100" t="s">
        <v>298</v>
      </c>
      <c r="BD4" s="99" t="s">
        <v>299</v>
      </c>
      <c r="BE4" s="100" t="s">
        <v>298</v>
      </c>
      <c r="BF4" s="99" t="s">
        <v>299</v>
      </c>
      <c r="BG4" s="100" t="s">
        <v>298</v>
      </c>
      <c r="BH4" s="99" t="s">
        <v>299</v>
      </c>
      <c r="BI4" s="100" t="s">
        <v>298</v>
      </c>
      <c r="BJ4" s="99" t="s">
        <v>299</v>
      </c>
      <c r="BK4" s="100" t="s">
        <v>298</v>
      </c>
      <c r="BL4" s="99" t="s">
        <v>299</v>
      </c>
      <c r="BM4" s="100" t="s">
        <v>298</v>
      </c>
    </row>
    <row r="5" spans="1:65" x14ac:dyDescent="0.25">
      <c r="A5" s="101" t="s">
        <v>170</v>
      </c>
      <c r="B5" s="74">
        <v>2494</v>
      </c>
      <c r="C5" s="74">
        <v>7760</v>
      </c>
      <c r="D5" s="74">
        <v>11834</v>
      </c>
      <c r="E5" s="74">
        <v>35228</v>
      </c>
      <c r="F5" s="74">
        <v>3822</v>
      </c>
      <c r="G5" s="74">
        <v>9113</v>
      </c>
      <c r="H5" s="74">
        <v>18395</v>
      </c>
      <c r="I5" s="74">
        <v>58365</v>
      </c>
      <c r="J5" s="74">
        <v>18273</v>
      </c>
      <c r="K5" s="74">
        <v>53889</v>
      </c>
      <c r="L5" s="74">
        <v>12089</v>
      </c>
      <c r="M5" s="74">
        <v>33104</v>
      </c>
      <c r="N5" s="74">
        <v>6286</v>
      </c>
      <c r="O5" s="74">
        <v>17860</v>
      </c>
      <c r="P5" s="74">
        <v>3685.36</v>
      </c>
      <c r="Q5" s="74">
        <v>12631.61</v>
      </c>
      <c r="R5" s="74">
        <v>1634.7</v>
      </c>
      <c r="S5" s="74">
        <v>4817.99</v>
      </c>
      <c r="T5" s="74">
        <v>9200.82</v>
      </c>
      <c r="U5" s="74">
        <v>27114.89</v>
      </c>
      <c r="V5" s="74">
        <v>20508</v>
      </c>
      <c r="W5" s="74">
        <v>61287</v>
      </c>
      <c r="X5" s="74">
        <v>27308</v>
      </c>
      <c r="Y5" s="74">
        <v>83012</v>
      </c>
      <c r="Z5" s="74">
        <v>11653</v>
      </c>
      <c r="AA5" s="74">
        <v>34008</v>
      </c>
      <c r="AB5" s="74">
        <v>3428</v>
      </c>
      <c r="AC5" s="74">
        <v>10069</v>
      </c>
      <c r="AD5" s="74">
        <v>4218</v>
      </c>
      <c r="AE5" s="74">
        <v>12030</v>
      </c>
      <c r="AF5" s="74">
        <v>4992</v>
      </c>
      <c r="AG5" s="74">
        <v>13930</v>
      </c>
      <c r="AH5" s="74">
        <v>4772.22</v>
      </c>
      <c r="AI5" s="74">
        <v>14904.98</v>
      </c>
      <c r="AJ5" s="74">
        <v>74854.42</v>
      </c>
      <c r="AK5" s="74">
        <v>344629.9</v>
      </c>
      <c r="AL5" s="74">
        <v>282</v>
      </c>
      <c r="AM5" s="74">
        <v>1388</v>
      </c>
      <c r="AN5" s="74">
        <v>16569</v>
      </c>
      <c r="AO5" s="74">
        <v>46084</v>
      </c>
      <c r="AP5" s="74">
        <v>1331</v>
      </c>
      <c r="AQ5" s="74">
        <v>4545</v>
      </c>
      <c r="AR5" s="74">
        <v>13365</v>
      </c>
      <c r="AS5" s="74">
        <v>39067</v>
      </c>
      <c r="AT5" s="74">
        <v>5305</v>
      </c>
      <c r="AU5" s="74">
        <v>16108</v>
      </c>
      <c r="AV5" s="74">
        <v>13160</v>
      </c>
      <c r="AW5" s="74">
        <v>37495</v>
      </c>
      <c r="AX5" s="74">
        <v>3532</v>
      </c>
      <c r="AY5" s="74">
        <v>10155</v>
      </c>
      <c r="AZ5" s="74">
        <v>38046</v>
      </c>
      <c r="BA5" s="74">
        <v>101683</v>
      </c>
      <c r="BB5" s="74">
        <v>16448</v>
      </c>
      <c r="BC5" s="74">
        <v>50539</v>
      </c>
      <c r="BD5" s="74">
        <v>83630</v>
      </c>
      <c r="BE5" s="74">
        <v>222165</v>
      </c>
      <c r="BF5" s="74">
        <v>68959</v>
      </c>
      <c r="BG5" s="74">
        <v>377980</v>
      </c>
      <c r="BH5" s="74">
        <v>219280</v>
      </c>
      <c r="BI5" s="74">
        <v>355324</v>
      </c>
      <c r="BJ5" s="74">
        <v>3486</v>
      </c>
      <c r="BK5" s="74">
        <v>10252</v>
      </c>
      <c r="BL5" s="102">
        <f>SUM(B5+D5+F5+H5+J5+L5+N5+P5+R5+T5+V5+X5+Z5+AB5+AD5+AF5+AH5+AJ5+AL5+AN5+AP5+AR5+AT5+AV5+AX5+AZ5+BB5+BD5+BF5+BH5+BJ5)</f>
        <v>722840.52</v>
      </c>
      <c r="BM5" s="102">
        <f>SUM(C5+E5+G5+I5+K5+M5+O5+Q5+S5+U5+W5+Y5+AA5+AC5+AE5+AG5+AI5+AK5+AM5+AO5+AQ5+AS5+AU5+AW5+AY5+BA5+BC5+BE5+BG5+BI5+BK5)</f>
        <v>2106539.37</v>
      </c>
    </row>
    <row r="6" spans="1:65" x14ac:dyDescent="0.25">
      <c r="A6" s="101" t="s">
        <v>171</v>
      </c>
      <c r="B6" s="74">
        <v>52</v>
      </c>
      <c r="C6" s="74">
        <v>153</v>
      </c>
      <c r="D6" s="74">
        <v>507</v>
      </c>
      <c r="E6" s="74">
        <v>1350</v>
      </c>
      <c r="F6" s="74">
        <v>88</v>
      </c>
      <c r="G6" s="74">
        <v>288</v>
      </c>
      <c r="H6" s="74">
        <v>1160</v>
      </c>
      <c r="I6" s="74">
        <v>3314</v>
      </c>
      <c r="J6" s="74">
        <v>162</v>
      </c>
      <c r="K6" s="74">
        <v>1047</v>
      </c>
      <c r="L6" s="74">
        <v>719</v>
      </c>
      <c r="M6" s="74">
        <v>1955</v>
      </c>
      <c r="N6" s="74">
        <v>273</v>
      </c>
      <c r="O6" s="74">
        <v>916</v>
      </c>
      <c r="P6" s="74">
        <v>208.06</v>
      </c>
      <c r="Q6" s="74">
        <v>728.94</v>
      </c>
      <c r="R6" s="74">
        <v>63.58</v>
      </c>
      <c r="S6" s="74">
        <v>172.3</v>
      </c>
      <c r="T6" s="74">
        <v>397.47</v>
      </c>
      <c r="U6" s="74">
        <v>931.07</v>
      </c>
      <c r="V6" s="74">
        <v>1224</v>
      </c>
      <c r="W6" s="74">
        <v>3379</v>
      </c>
      <c r="X6" s="74">
        <v>1908</v>
      </c>
      <c r="Y6" s="74">
        <v>5159</v>
      </c>
      <c r="Z6" s="74">
        <v>389</v>
      </c>
      <c r="AA6" s="74">
        <v>1239</v>
      </c>
      <c r="AB6" s="74">
        <v>155</v>
      </c>
      <c r="AC6" s="74">
        <v>456</v>
      </c>
      <c r="AD6" s="74">
        <v>268</v>
      </c>
      <c r="AE6" s="74">
        <v>804</v>
      </c>
      <c r="AF6" s="74">
        <v>206</v>
      </c>
      <c r="AG6" s="74">
        <v>574</v>
      </c>
      <c r="AH6" s="74">
        <v>120.3</v>
      </c>
      <c r="AI6" s="74">
        <v>364.79</v>
      </c>
      <c r="AJ6" s="74">
        <v>713.96</v>
      </c>
      <c r="AK6" s="74">
        <v>1952.82</v>
      </c>
      <c r="AL6" s="74">
        <v>5</v>
      </c>
      <c r="AM6" s="74">
        <v>13</v>
      </c>
      <c r="AN6" s="74">
        <v>666</v>
      </c>
      <c r="AO6" s="74">
        <v>1687</v>
      </c>
      <c r="AP6" s="74">
        <v>133</v>
      </c>
      <c r="AQ6" s="74">
        <v>104</v>
      </c>
      <c r="AR6" s="74">
        <v>693</v>
      </c>
      <c r="AS6" s="74">
        <v>1826</v>
      </c>
      <c r="AT6" s="74">
        <v>187</v>
      </c>
      <c r="AU6" s="74">
        <v>534</v>
      </c>
      <c r="AV6" s="74">
        <v>1047</v>
      </c>
      <c r="AW6" s="74">
        <v>2855</v>
      </c>
      <c r="AX6" s="74">
        <v>567</v>
      </c>
      <c r="AY6" s="74">
        <v>1251</v>
      </c>
      <c r="AZ6" s="74">
        <v>1005</v>
      </c>
      <c r="BA6" s="74">
        <v>2679</v>
      </c>
      <c r="BB6" s="74">
        <v>979</v>
      </c>
      <c r="BC6" s="74">
        <v>2173</v>
      </c>
      <c r="BD6" s="74">
        <v>1364</v>
      </c>
      <c r="BE6" s="74">
        <v>3513</v>
      </c>
      <c r="BF6" s="74">
        <v>611</v>
      </c>
      <c r="BG6" s="74">
        <v>1578</v>
      </c>
      <c r="BH6" s="74">
        <v>1101</v>
      </c>
      <c r="BI6" s="74">
        <v>2358</v>
      </c>
      <c r="BJ6" s="74">
        <v>159</v>
      </c>
      <c r="BK6" s="74">
        <v>411</v>
      </c>
      <c r="BL6" s="102">
        <f t="shared" ref="BL6:BL17" si="0">SUM(B6+D6+F6+H6+J6+L6+N6+P6+R6+T6+V6+X6+Z6+AB6+AD6+AF6+AH6+AJ6+AL6+AN6+AP6+AR6+AT6+AV6+AX6+AZ6+BB6+BD6+BF6+BH6+BJ6)</f>
        <v>17131.37</v>
      </c>
      <c r="BM6" s="102">
        <f t="shared" ref="BM6:BM17" si="1">SUM(C6+E6+G6+I6+K6+M6+O6+Q6+S6+U6+W6+Y6+AA6+AC6+AE6+AG6+AI6+AK6+AM6+AO6+AQ6+AS6+AU6+AW6+AY6+BA6+BC6+BE6+BG6+BI6+BK6)</f>
        <v>45765.919999999998</v>
      </c>
    </row>
    <row r="7" spans="1:65" x14ac:dyDescent="0.25">
      <c r="A7" s="101" t="s">
        <v>172</v>
      </c>
      <c r="B7" s="74">
        <v>5</v>
      </c>
      <c r="C7" s="74">
        <v>10</v>
      </c>
      <c r="D7" s="74">
        <v>109</v>
      </c>
      <c r="E7" s="74">
        <v>1162</v>
      </c>
      <c r="F7" s="74">
        <v>15</v>
      </c>
      <c r="G7" s="74">
        <v>28</v>
      </c>
      <c r="H7" s="74">
        <v>173</v>
      </c>
      <c r="I7" s="74">
        <v>732</v>
      </c>
      <c r="J7" s="74">
        <v>266</v>
      </c>
      <c r="K7" s="74">
        <v>1171</v>
      </c>
      <c r="L7" s="74">
        <v>14</v>
      </c>
      <c r="M7" s="74">
        <v>286</v>
      </c>
      <c r="N7" s="74">
        <v>84</v>
      </c>
      <c r="O7" s="74">
        <v>170</v>
      </c>
      <c r="P7" s="74">
        <v>12.25</v>
      </c>
      <c r="Q7" s="74">
        <v>165.08500000000001</v>
      </c>
      <c r="R7" s="74">
        <v>111.37</v>
      </c>
      <c r="S7" s="74">
        <v>164.6</v>
      </c>
      <c r="T7" s="74">
        <v>87.16</v>
      </c>
      <c r="U7" s="74">
        <v>194.69</v>
      </c>
      <c r="V7" s="74">
        <v>457</v>
      </c>
      <c r="W7" s="74">
        <v>1147</v>
      </c>
      <c r="X7" s="74">
        <v>157</v>
      </c>
      <c r="Y7" s="74">
        <v>228</v>
      </c>
      <c r="Z7" s="74">
        <v>16</v>
      </c>
      <c r="AA7" s="74">
        <v>101</v>
      </c>
      <c r="AB7" s="74">
        <v>21</v>
      </c>
      <c r="AC7" s="74">
        <v>10</v>
      </c>
      <c r="AD7" s="74">
        <v>61</v>
      </c>
      <c r="AE7" s="74">
        <v>358</v>
      </c>
      <c r="AF7" s="103">
        <v>7</v>
      </c>
      <c r="AG7" s="74">
        <v>27</v>
      </c>
      <c r="AH7" s="74">
        <v>146.76</v>
      </c>
      <c r="AI7" s="74">
        <v>622</v>
      </c>
      <c r="AJ7" s="74">
        <v>23.93</v>
      </c>
      <c r="AK7" s="74">
        <v>89.67</v>
      </c>
      <c r="AL7" s="74">
        <v>2</v>
      </c>
      <c r="AM7" s="74">
        <v>-186</v>
      </c>
      <c r="AN7" s="74">
        <v>648</v>
      </c>
      <c r="AO7" s="74">
        <v>691</v>
      </c>
      <c r="AP7" s="74"/>
      <c r="AQ7" s="74">
        <v>375</v>
      </c>
      <c r="AR7" s="74">
        <v>696</v>
      </c>
      <c r="AS7" s="74">
        <v>2024</v>
      </c>
      <c r="AT7" s="74">
        <v>56</v>
      </c>
      <c r="AU7" s="74">
        <v>77</v>
      </c>
      <c r="AV7" s="74">
        <v>249</v>
      </c>
      <c r="AW7" s="74">
        <v>425</v>
      </c>
      <c r="AX7" s="74">
        <v>21</v>
      </c>
      <c r="AY7" s="74">
        <v>57</v>
      </c>
      <c r="AZ7" s="74">
        <v>133</v>
      </c>
      <c r="BA7" s="74">
        <v>432</v>
      </c>
      <c r="BB7" s="74">
        <v>848</v>
      </c>
      <c r="BC7" s="74">
        <v>2017</v>
      </c>
      <c r="BD7" s="74">
        <v>294</v>
      </c>
      <c r="BE7" s="74">
        <v>955</v>
      </c>
      <c r="BF7" s="74">
        <v>8</v>
      </c>
      <c r="BG7" s="74">
        <v>112</v>
      </c>
      <c r="BH7" s="74">
        <v>63</v>
      </c>
      <c r="BI7" s="74">
        <v>115</v>
      </c>
      <c r="BJ7" s="74">
        <v>111</v>
      </c>
      <c r="BK7" s="74">
        <v>120</v>
      </c>
      <c r="BL7" s="102">
        <f t="shared" si="0"/>
        <v>4895.47</v>
      </c>
      <c r="BM7" s="102">
        <f t="shared" si="1"/>
        <v>13880.045</v>
      </c>
    </row>
    <row r="8" spans="1:65" x14ac:dyDescent="0.25">
      <c r="A8" s="101" t="s">
        <v>173</v>
      </c>
      <c r="B8" s="74">
        <v>55</v>
      </c>
      <c r="C8" s="74">
        <v>157</v>
      </c>
      <c r="D8" s="74">
        <v>349</v>
      </c>
      <c r="E8" s="74">
        <v>1008</v>
      </c>
      <c r="F8" s="74">
        <v>304</v>
      </c>
      <c r="G8" s="74">
        <v>884</v>
      </c>
      <c r="H8" s="74">
        <v>731</v>
      </c>
      <c r="I8" s="74">
        <v>2216</v>
      </c>
      <c r="J8" s="74">
        <v>722</v>
      </c>
      <c r="K8" s="74">
        <v>1919</v>
      </c>
      <c r="L8" s="74">
        <v>395</v>
      </c>
      <c r="M8" s="74">
        <v>1207</v>
      </c>
      <c r="N8" s="74">
        <v>558</v>
      </c>
      <c r="O8" s="74">
        <v>2415</v>
      </c>
      <c r="P8" s="74">
        <v>951.27</v>
      </c>
      <c r="Q8" s="74">
        <v>2345.06</v>
      </c>
      <c r="R8" s="74">
        <v>116.54</v>
      </c>
      <c r="S8" s="74">
        <v>322.47000000000003</v>
      </c>
      <c r="T8" s="74">
        <v>256.18</v>
      </c>
      <c r="U8" s="74">
        <v>964.3</v>
      </c>
      <c r="V8" s="74">
        <v>1173</v>
      </c>
      <c r="W8" s="74">
        <v>3501</v>
      </c>
      <c r="X8" s="74">
        <v>2740</v>
      </c>
      <c r="Y8" s="74">
        <v>7919</v>
      </c>
      <c r="Z8" s="74">
        <v>1262</v>
      </c>
      <c r="AA8" s="74">
        <v>3748</v>
      </c>
      <c r="AB8" s="74">
        <v>312</v>
      </c>
      <c r="AC8" s="74">
        <v>1011</v>
      </c>
      <c r="AD8" s="74">
        <v>420</v>
      </c>
      <c r="AE8" s="74">
        <v>1239</v>
      </c>
      <c r="AF8" s="103">
        <v>323</v>
      </c>
      <c r="AG8" s="74">
        <v>704</v>
      </c>
      <c r="AH8" s="74">
        <v>255.16</v>
      </c>
      <c r="AI8" s="74">
        <v>767.88</v>
      </c>
      <c r="AJ8" s="74">
        <v>2370.92</v>
      </c>
      <c r="AK8" s="74">
        <v>6797.32</v>
      </c>
      <c r="AL8" s="74">
        <v>40</v>
      </c>
      <c r="AM8" s="74">
        <v>140</v>
      </c>
      <c r="AN8" s="74">
        <v>454</v>
      </c>
      <c r="AO8" s="74">
        <v>1327</v>
      </c>
      <c r="AP8" s="74">
        <v>107</v>
      </c>
      <c r="AQ8" s="74">
        <v>208</v>
      </c>
      <c r="AR8" s="74">
        <v>1641</v>
      </c>
      <c r="AS8" s="74">
        <v>4768</v>
      </c>
      <c r="AT8" s="74">
        <v>629</v>
      </c>
      <c r="AU8" s="74">
        <v>2019</v>
      </c>
      <c r="AV8" s="74">
        <v>735</v>
      </c>
      <c r="AW8" s="74">
        <v>2066</v>
      </c>
      <c r="AX8" s="74">
        <v>310</v>
      </c>
      <c r="AY8" s="74">
        <v>932</v>
      </c>
      <c r="AZ8" s="74">
        <v>2281</v>
      </c>
      <c r="BA8" s="74">
        <v>6589</v>
      </c>
      <c r="BB8" s="74">
        <v>1506</v>
      </c>
      <c r="BC8" s="74">
        <v>4137</v>
      </c>
      <c r="BD8" s="74">
        <v>4426</v>
      </c>
      <c r="BE8" s="74">
        <v>11880</v>
      </c>
      <c r="BF8" s="74">
        <v>1999</v>
      </c>
      <c r="BG8" s="74">
        <v>5898</v>
      </c>
      <c r="BH8" s="74">
        <v>2913</v>
      </c>
      <c r="BI8" s="74">
        <v>8112</v>
      </c>
      <c r="BJ8" s="74">
        <v>229</v>
      </c>
      <c r="BK8" s="74">
        <v>1225</v>
      </c>
      <c r="BL8" s="102">
        <f t="shared" si="0"/>
        <v>30564.07</v>
      </c>
      <c r="BM8" s="102">
        <f t="shared" si="1"/>
        <v>88426.03</v>
      </c>
    </row>
    <row r="9" spans="1:65" x14ac:dyDescent="0.25">
      <c r="A9" s="101" t="s">
        <v>174</v>
      </c>
      <c r="B9" s="74">
        <v>28</v>
      </c>
      <c r="C9" s="74">
        <v>75</v>
      </c>
      <c r="D9" s="74">
        <v>88</v>
      </c>
      <c r="E9" s="74">
        <v>312</v>
      </c>
      <c r="F9" s="74">
        <v>143</v>
      </c>
      <c r="G9" s="74">
        <v>256</v>
      </c>
      <c r="H9" s="74">
        <v>337</v>
      </c>
      <c r="I9" s="74">
        <v>1011</v>
      </c>
      <c r="J9" s="74">
        <v>18</v>
      </c>
      <c r="K9" s="74">
        <v>59</v>
      </c>
      <c r="L9" s="74">
        <v>85</v>
      </c>
      <c r="M9" s="74">
        <v>258</v>
      </c>
      <c r="N9" s="74"/>
      <c r="O9" s="74"/>
      <c r="P9" s="74">
        <v>310.04000000000002</v>
      </c>
      <c r="Q9" s="74">
        <v>937.54</v>
      </c>
      <c r="R9" s="74">
        <v>30.61</v>
      </c>
      <c r="S9" s="74">
        <v>80.64</v>
      </c>
      <c r="T9" s="74">
        <v>1463.38</v>
      </c>
      <c r="U9" s="74">
        <v>3774.72</v>
      </c>
      <c r="V9" s="74">
        <v>626</v>
      </c>
      <c r="W9" s="74">
        <v>1838</v>
      </c>
      <c r="X9" s="74">
        <v>1928</v>
      </c>
      <c r="Y9" s="74">
        <v>5113</v>
      </c>
      <c r="Z9" s="74">
        <v>533</v>
      </c>
      <c r="AA9" s="74">
        <v>1700</v>
      </c>
      <c r="AB9" s="74">
        <v>49</v>
      </c>
      <c r="AC9" s="74">
        <v>143</v>
      </c>
      <c r="AD9" s="74">
        <v>215</v>
      </c>
      <c r="AE9" s="74">
        <v>623</v>
      </c>
      <c r="AF9" s="103">
        <v>100</v>
      </c>
      <c r="AG9" s="74">
        <v>215</v>
      </c>
      <c r="AH9" s="74">
        <v>16.62</v>
      </c>
      <c r="AI9" s="74">
        <v>38.299999999999997</v>
      </c>
      <c r="AJ9" s="74">
        <v>204.96</v>
      </c>
      <c r="AK9" s="74">
        <v>523.66999999999996</v>
      </c>
      <c r="AL9" s="74">
        <v>1</v>
      </c>
      <c r="AM9" s="74">
        <v>3</v>
      </c>
      <c r="AN9" s="74">
        <v>281</v>
      </c>
      <c r="AO9" s="74">
        <v>758</v>
      </c>
      <c r="AP9" s="74"/>
      <c r="AQ9" s="74"/>
      <c r="AR9" s="74">
        <v>77</v>
      </c>
      <c r="AS9" s="74">
        <v>225</v>
      </c>
      <c r="AT9" s="74">
        <v>204</v>
      </c>
      <c r="AU9" s="74">
        <v>539</v>
      </c>
      <c r="AV9" s="74">
        <v>952</v>
      </c>
      <c r="AW9" s="74">
        <v>2530</v>
      </c>
      <c r="AX9" s="74">
        <v>68</v>
      </c>
      <c r="AY9" s="74">
        <v>200</v>
      </c>
      <c r="AZ9" s="74">
        <v>654</v>
      </c>
      <c r="BA9" s="74">
        <v>2144</v>
      </c>
      <c r="BB9" s="74">
        <v>81</v>
      </c>
      <c r="BC9" s="74">
        <v>232</v>
      </c>
      <c r="BD9" s="74">
        <v>1674</v>
      </c>
      <c r="BE9" s="74">
        <v>5284</v>
      </c>
      <c r="BF9" s="74">
        <v>608</v>
      </c>
      <c r="BG9" s="74">
        <v>1838</v>
      </c>
      <c r="BH9" s="74">
        <v>274</v>
      </c>
      <c r="BI9" s="74">
        <v>795</v>
      </c>
      <c r="BJ9" s="74">
        <v>167</v>
      </c>
      <c r="BK9" s="74">
        <v>590</v>
      </c>
      <c r="BL9" s="102">
        <f t="shared" si="0"/>
        <v>11216.61</v>
      </c>
      <c r="BM9" s="102">
        <f t="shared" si="1"/>
        <v>32095.87</v>
      </c>
    </row>
    <row r="10" spans="1:65" x14ac:dyDescent="0.25">
      <c r="A10" s="101" t="s">
        <v>175</v>
      </c>
      <c r="B10" s="74">
        <v>1</v>
      </c>
      <c r="C10" s="74">
        <v>3</v>
      </c>
      <c r="D10" s="74">
        <v>61</v>
      </c>
      <c r="E10" s="74">
        <v>345</v>
      </c>
      <c r="F10" s="74">
        <v>33</v>
      </c>
      <c r="G10" s="74">
        <v>86</v>
      </c>
      <c r="H10" s="74">
        <v>235</v>
      </c>
      <c r="I10" s="74">
        <v>700</v>
      </c>
      <c r="J10" s="74">
        <v>293</v>
      </c>
      <c r="K10" s="74">
        <v>510</v>
      </c>
      <c r="L10" s="74">
        <v>125</v>
      </c>
      <c r="M10" s="74">
        <v>305</v>
      </c>
      <c r="N10" s="74">
        <v>42</v>
      </c>
      <c r="O10" s="74">
        <v>115</v>
      </c>
      <c r="P10" s="74">
        <v>46.2</v>
      </c>
      <c r="Q10" s="74">
        <v>142.41999999999999</v>
      </c>
      <c r="R10" s="74">
        <v>8.75</v>
      </c>
      <c r="S10" s="74">
        <v>18.86</v>
      </c>
      <c r="T10" s="74">
        <v>199.39</v>
      </c>
      <c r="U10" s="74">
        <v>488.24</v>
      </c>
      <c r="V10" s="74">
        <v>621</v>
      </c>
      <c r="W10" s="74">
        <v>1545</v>
      </c>
      <c r="X10" s="74">
        <v>416</v>
      </c>
      <c r="Y10" s="74">
        <v>1152</v>
      </c>
      <c r="Z10" s="74">
        <v>526</v>
      </c>
      <c r="AA10" s="74">
        <v>822</v>
      </c>
      <c r="AB10" s="74">
        <v>50</v>
      </c>
      <c r="AC10" s="74">
        <v>132</v>
      </c>
      <c r="AD10" s="74">
        <v>36</v>
      </c>
      <c r="AE10" s="74">
        <v>156</v>
      </c>
      <c r="AF10" s="103">
        <v>29</v>
      </c>
      <c r="AG10" s="74">
        <v>84</v>
      </c>
      <c r="AH10" s="74">
        <v>47.29</v>
      </c>
      <c r="AI10" s="74">
        <v>139.88999999999999</v>
      </c>
      <c r="AJ10" s="74">
        <v>694.59</v>
      </c>
      <c r="AK10" s="74">
        <v>1834.87</v>
      </c>
      <c r="AL10" s="74"/>
      <c r="AM10" s="74">
        <v>6</v>
      </c>
      <c r="AN10" s="74">
        <v>29</v>
      </c>
      <c r="AO10" s="74">
        <v>74</v>
      </c>
      <c r="AP10" s="74">
        <v>11</v>
      </c>
      <c r="AQ10" s="74">
        <v>-5</v>
      </c>
      <c r="AR10" s="74">
        <v>562</v>
      </c>
      <c r="AS10" s="74">
        <v>1358</v>
      </c>
      <c r="AT10" s="74">
        <v>133</v>
      </c>
      <c r="AU10" s="74">
        <v>308</v>
      </c>
      <c r="AV10" s="74">
        <v>734</v>
      </c>
      <c r="AW10" s="74">
        <v>1958</v>
      </c>
      <c r="AX10" s="74">
        <v>263</v>
      </c>
      <c r="AY10" s="74">
        <v>645</v>
      </c>
      <c r="AZ10" s="74">
        <v>376</v>
      </c>
      <c r="BA10" s="74">
        <v>1093</v>
      </c>
      <c r="BB10" s="74">
        <v>296</v>
      </c>
      <c r="BC10" s="74">
        <v>812</v>
      </c>
      <c r="BD10" s="74">
        <v>780</v>
      </c>
      <c r="BE10" s="74">
        <v>2198</v>
      </c>
      <c r="BF10" s="74">
        <v>310</v>
      </c>
      <c r="BG10" s="74">
        <v>851</v>
      </c>
      <c r="BH10" s="74">
        <v>426</v>
      </c>
      <c r="BI10" s="74">
        <v>1110</v>
      </c>
      <c r="BJ10" s="74">
        <v>187</v>
      </c>
      <c r="BK10" s="74">
        <v>497</v>
      </c>
      <c r="BL10" s="102">
        <f t="shared" si="0"/>
        <v>7571.22</v>
      </c>
      <c r="BM10" s="102">
        <f t="shared" si="1"/>
        <v>19484.28</v>
      </c>
    </row>
    <row r="11" spans="1:65" x14ac:dyDescent="0.25">
      <c r="A11" s="101" t="s">
        <v>176</v>
      </c>
      <c r="B11" s="74">
        <v>28</v>
      </c>
      <c r="C11" s="74">
        <v>79</v>
      </c>
      <c r="D11" s="74">
        <v>286</v>
      </c>
      <c r="E11" s="74">
        <v>631</v>
      </c>
      <c r="F11" s="74">
        <v>20</v>
      </c>
      <c r="G11" s="74">
        <v>65</v>
      </c>
      <c r="H11" s="74">
        <v>470</v>
      </c>
      <c r="I11" s="74">
        <v>1378</v>
      </c>
      <c r="J11" s="74">
        <v>437</v>
      </c>
      <c r="K11" s="74">
        <v>1085</v>
      </c>
      <c r="L11" s="74">
        <v>316</v>
      </c>
      <c r="M11" s="74">
        <v>931</v>
      </c>
      <c r="N11" s="74">
        <v>50</v>
      </c>
      <c r="O11" s="74">
        <v>140</v>
      </c>
      <c r="P11" s="74">
        <v>15.56</v>
      </c>
      <c r="Q11" s="74">
        <v>99.9</v>
      </c>
      <c r="R11" s="74">
        <v>21.02</v>
      </c>
      <c r="S11" s="74">
        <v>80.83</v>
      </c>
      <c r="T11" s="74">
        <v>222.07</v>
      </c>
      <c r="U11" s="74">
        <v>494.14</v>
      </c>
      <c r="V11" s="74">
        <v>272</v>
      </c>
      <c r="W11" s="74">
        <v>827</v>
      </c>
      <c r="X11" s="74">
        <v>1587</v>
      </c>
      <c r="Y11" s="74">
        <v>5014</v>
      </c>
      <c r="Z11" s="74">
        <v>266</v>
      </c>
      <c r="AA11" s="74">
        <v>643</v>
      </c>
      <c r="AB11" s="74">
        <v>47</v>
      </c>
      <c r="AC11" s="74">
        <v>139</v>
      </c>
      <c r="AD11" s="74">
        <v>95</v>
      </c>
      <c r="AE11" s="74">
        <v>244</v>
      </c>
      <c r="AF11" s="103">
        <v>64</v>
      </c>
      <c r="AG11" s="74">
        <v>178</v>
      </c>
      <c r="AH11" s="74">
        <v>96.48</v>
      </c>
      <c r="AI11" s="74">
        <v>275.57</v>
      </c>
      <c r="AJ11" s="74">
        <v>456.9</v>
      </c>
      <c r="AK11" s="74">
        <v>1367.13</v>
      </c>
      <c r="AL11" s="74">
        <v>7</v>
      </c>
      <c r="AM11" s="74">
        <v>22</v>
      </c>
      <c r="AN11" s="74">
        <v>495</v>
      </c>
      <c r="AO11" s="74">
        <v>1521</v>
      </c>
      <c r="AP11" s="74">
        <v>36</v>
      </c>
      <c r="AQ11" s="74">
        <v>39</v>
      </c>
      <c r="AR11" s="74">
        <v>64</v>
      </c>
      <c r="AS11" s="74">
        <v>318</v>
      </c>
      <c r="AT11" s="74">
        <v>174</v>
      </c>
      <c r="AU11" s="74">
        <v>513</v>
      </c>
      <c r="AV11" s="74">
        <v>872</v>
      </c>
      <c r="AW11" s="74">
        <v>2410</v>
      </c>
      <c r="AX11" s="74">
        <v>143</v>
      </c>
      <c r="AY11" s="74">
        <v>356</v>
      </c>
      <c r="AZ11" s="74">
        <v>625</v>
      </c>
      <c r="BA11" s="74">
        <v>1930</v>
      </c>
      <c r="BB11" s="74">
        <v>563</v>
      </c>
      <c r="BC11" s="74">
        <v>1489</v>
      </c>
      <c r="BD11" s="74">
        <v>506</v>
      </c>
      <c r="BE11" s="74">
        <v>1453</v>
      </c>
      <c r="BF11" s="74">
        <v>200</v>
      </c>
      <c r="BG11" s="74">
        <v>585</v>
      </c>
      <c r="BH11" s="74">
        <v>501</v>
      </c>
      <c r="BI11" s="74">
        <v>1749</v>
      </c>
      <c r="BJ11" s="74">
        <v>33</v>
      </c>
      <c r="BK11" s="74">
        <v>435</v>
      </c>
      <c r="BL11" s="102">
        <f t="shared" si="0"/>
        <v>8969.0299999999988</v>
      </c>
      <c r="BM11" s="102">
        <f t="shared" si="1"/>
        <v>26491.57</v>
      </c>
    </row>
    <row r="12" spans="1:65" x14ac:dyDescent="0.25">
      <c r="A12" s="101" t="s">
        <v>177</v>
      </c>
      <c r="B12" s="74">
        <v>188</v>
      </c>
      <c r="C12" s="74">
        <v>379</v>
      </c>
      <c r="D12" s="74">
        <v>778</v>
      </c>
      <c r="E12" s="74">
        <v>1998</v>
      </c>
      <c r="F12" s="74">
        <v>184</v>
      </c>
      <c r="G12" s="74">
        <v>383</v>
      </c>
      <c r="H12" s="74">
        <v>484</v>
      </c>
      <c r="I12" s="74">
        <v>1223</v>
      </c>
      <c r="J12" s="74">
        <v>231</v>
      </c>
      <c r="K12" s="74">
        <v>1110</v>
      </c>
      <c r="L12" s="74">
        <v>388</v>
      </c>
      <c r="M12" s="74">
        <v>909</v>
      </c>
      <c r="N12" s="74">
        <v>16400</v>
      </c>
      <c r="O12" s="74">
        <v>39968</v>
      </c>
      <c r="P12" s="74">
        <v>212.55</v>
      </c>
      <c r="Q12" s="74">
        <v>684.64</v>
      </c>
      <c r="R12" s="74">
        <v>119.87</v>
      </c>
      <c r="S12" s="74">
        <v>492.82</v>
      </c>
      <c r="T12" s="74">
        <v>492.9</v>
      </c>
      <c r="U12" s="74">
        <v>1312.75</v>
      </c>
      <c r="V12" s="74">
        <v>15419</v>
      </c>
      <c r="W12" s="74">
        <v>42983</v>
      </c>
      <c r="X12" s="74">
        <v>3933</v>
      </c>
      <c r="Y12" s="74">
        <v>7419</v>
      </c>
      <c r="Z12" s="74">
        <v>1562</v>
      </c>
      <c r="AA12" s="74">
        <v>5099</v>
      </c>
      <c r="AB12" s="74">
        <v>199</v>
      </c>
      <c r="AC12" s="74">
        <v>537</v>
      </c>
      <c r="AD12" s="74">
        <v>314</v>
      </c>
      <c r="AE12" s="74">
        <v>917</v>
      </c>
      <c r="AF12" s="103">
        <v>346</v>
      </c>
      <c r="AG12" s="74">
        <v>830</v>
      </c>
      <c r="AH12" s="74">
        <v>655.29</v>
      </c>
      <c r="AI12" s="74">
        <v>2045.53</v>
      </c>
      <c r="AJ12" s="74">
        <v>348.09</v>
      </c>
      <c r="AK12" s="74">
        <v>1165.81</v>
      </c>
      <c r="AL12" s="74">
        <v>167</v>
      </c>
      <c r="AM12" s="74">
        <v>640</v>
      </c>
      <c r="AN12" s="74">
        <v>585</v>
      </c>
      <c r="AO12" s="74">
        <v>1641</v>
      </c>
      <c r="AP12" s="74">
        <v>128</v>
      </c>
      <c r="AQ12" s="74">
        <v>389</v>
      </c>
      <c r="AR12" s="74">
        <v>270</v>
      </c>
      <c r="AS12" s="74">
        <v>736</v>
      </c>
      <c r="AT12" s="74">
        <v>46</v>
      </c>
      <c r="AU12" s="74">
        <v>136</v>
      </c>
      <c r="AV12" s="74">
        <v>1575</v>
      </c>
      <c r="AW12" s="74">
        <v>5062</v>
      </c>
      <c r="AX12" s="74">
        <v>468</v>
      </c>
      <c r="AY12" s="74">
        <v>1771</v>
      </c>
      <c r="AZ12" s="74">
        <v>1301</v>
      </c>
      <c r="BA12" s="74">
        <v>3277</v>
      </c>
      <c r="BB12" s="74">
        <v>11056</v>
      </c>
      <c r="BC12" s="74">
        <v>39480</v>
      </c>
      <c r="BD12" s="74">
        <v>1781</v>
      </c>
      <c r="BE12" s="74">
        <v>5220</v>
      </c>
      <c r="BF12" s="74">
        <v>209</v>
      </c>
      <c r="BG12" s="74">
        <v>559</v>
      </c>
      <c r="BH12" s="74">
        <v>277</v>
      </c>
      <c r="BI12" s="74">
        <v>719</v>
      </c>
      <c r="BJ12" s="74">
        <v>292</v>
      </c>
      <c r="BK12" s="74">
        <v>787</v>
      </c>
      <c r="BL12" s="102">
        <f t="shared" si="0"/>
        <v>60409.7</v>
      </c>
      <c r="BM12" s="102">
        <f t="shared" si="1"/>
        <v>169873.55</v>
      </c>
    </row>
    <row r="13" spans="1:65" x14ac:dyDescent="0.25">
      <c r="A13" s="101" t="s">
        <v>178</v>
      </c>
      <c r="B13" s="74">
        <v>13163</v>
      </c>
      <c r="C13" s="74">
        <v>38471</v>
      </c>
      <c r="D13" s="74">
        <v>922</v>
      </c>
      <c r="E13" s="74">
        <v>12476</v>
      </c>
      <c r="F13" s="74">
        <v>1926</v>
      </c>
      <c r="G13" s="74">
        <v>6423</v>
      </c>
      <c r="H13" s="74">
        <v>6664</v>
      </c>
      <c r="I13" s="74">
        <v>15181</v>
      </c>
      <c r="J13" s="74">
        <v>7872</v>
      </c>
      <c r="K13" s="74">
        <v>22978</v>
      </c>
      <c r="L13" s="74">
        <v>18258</v>
      </c>
      <c r="M13" s="74">
        <v>47287</v>
      </c>
      <c r="N13" s="74">
        <v>31640</v>
      </c>
      <c r="O13" s="74">
        <v>75038</v>
      </c>
      <c r="P13" s="74">
        <v>204.56</v>
      </c>
      <c r="Q13" s="74">
        <v>538.78</v>
      </c>
      <c r="R13" s="74">
        <v>2118.87</v>
      </c>
      <c r="S13" s="74">
        <v>6576.31</v>
      </c>
      <c r="T13" s="74">
        <v>8307.08</v>
      </c>
      <c r="U13" s="74">
        <v>22288.5</v>
      </c>
      <c r="V13" s="74">
        <v>15195</v>
      </c>
      <c r="W13" s="74">
        <v>41302</v>
      </c>
      <c r="X13" s="74">
        <v>14645</v>
      </c>
      <c r="Y13" s="74">
        <v>41783</v>
      </c>
      <c r="Z13" s="74">
        <v>11211</v>
      </c>
      <c r="AA13" s="74">
        <v>24851</v>
      </c>
      <c r="AB13" s="74">
        <v>3534</v>
      </c>
      <c r="AC13" s="74">
        <v>8916</v>
      </c>
      <c r="AD13" s="74">
        <v>1820</v>
      </c>
      <c r="AE13" s="74">
        <v>5779</v>
      </c>
      <c r="AF13" s="103">
        <v>18526</v>
      </c>
      <c r="AG13" s="74">
        <v>48442</v>
      </c>
      <c r="AH13" s="74">
        <v>7810.1</v>
      </c>
      <c r="AI13" s="74">
        <v>13005.69</v>
      </c>
      <c r="AJ13" s="74">
        <v>150.47</v>
      </c>
      <c r="AK13" s="74">
        <v>154.82</v>
      </c>
      <c r="AL13" s="74">
        <v>228</v>
      </c>
      <c r="AM13" s="74">
        <v>577</v>
      </c>
      <c r="AN13" s="74">
        <v>9567</v>
      </c>
      <c r="AO13" s="74">
        <v>23419</v>
      </c>
      <c r="AP13" s="74">
        <v>2989</v>
      </c>
      <c r="AQ13" s="74">
        <v>6953</v>
      </c>
      <c r="AR13" s="74">
        <v>41769</v>
      </c>
      <c r="AS13" s="74">
        <v>98524</v>
      </c>
      <c r="AT13" s="74">
        <v>4997</v>
      </c>
      <c r="AU13" s="74">
        <v>17792</v>
      </c>
      <c r="AV13" s="74">
        <v>9227</v>
      </c>
      <c r="AW13" s="74">
        <v>25302</v>
      </c>
      <c r="AX13" s="74">
        <v>18</v>
      </c>
      <c r="AY13" s="74">
        <v>524</v>
      </c>
      <c r="AZ13" s="74">
        <v>1134</v>
      </c>
      <c r="BA13" s="74">
        <v>9012</v>
      </c>
      <c r="BB13" s="74">
        <v>24862</v>
      </c>
      <c r="BC13" s="74">
        <v>69514</v>
      </c>
      <c r="BD13" s="74">
        <v>-1463</v>
      </c>
      <c r="BE13" s="74">
        <v>933</v>
      </c>
      <c r="BF13" s="74">
        <v>15</v>
      </c>
      <c r="BG13" s="74">
        <v>73</v>
      </c>
      <c r="BH13" s="74">
        <v>90</v>
      </c>
      <c r="BI13" s="74">
        <v>126</v>
      </c>
      <c r="BJ13" s="74">
        <v>5384</v>
      </c>
      <c r="BK13" s="74">
        <v>16739</v>
      </c>
      <c r="BL13" s="102">
        <f t="shared" si="0"/>
        <v>262784.08</v>
      </c>
      <c r="BM13" s="102">
        <f t="shared" si="1"/>
        <v>700979.1</v>
      </c>
    </row>
    <row r="14" spans="1:65" x14ac:dyDescent="0.25">
      <c r="A14" s="101" t="s">
        <v>179</v>
      </c>
      <c r="B14" s="74">
        <v>101</v>
      </c>
      <c r="C14" s="74">
        <v>275</v>
      </c>
      <c r="D14" s="74">
        <v>120</v>
      </c>
      <c r="E14" s="74">
        <v>311</v>
      </c>
      <c r="F14" s="74">
        <v>1</v>
      </c>
      <c r="G14" s="74">
        <v>11</v>
      </c>
      <c r="H14" s="74">
        <v>929</v>
      </c>
      <c r="I14" s="74">
        <v>2645</v>
      </c>
      <c r="J14" s="74">
        <v>321</v>
      </c>
      <c r="K14" s="74">
        <v>869</v>
      </c>
      <c r="L14" s="74">
        <v>722</v>
      </c>
      <c r="M14" s="74">
        <v>1846</v>
      </c>
      <c r="N14" s="74">
        <v>569</v>
      </c>
      <c r="O14" s="74">
        <v>1443</v>
      </c>
      <c r="P14" s="74">
        <v>1.83</v>
      </c>
      <c r="Q14" s="74">
        <v>5</v>
      </c>
      <c r="R14" s="74">
        <v>25.48</v>
      </c>
      <c r="S14" s="74">
        <v>101.5</v>
      </c>
      <c r="T14" s="74">
        <v>226.37</v>
      </c>
      <c r="U14" s="74">
        <v>757.06</v>
      </c>
      <c r="V14" s="74">
        <v>1117</v>
      </c>
      <c r="W14" s="74">
        <v>2784</v>
      </c>
      <c r="X14" s="74">
        <v>1858</v>
      </c>
      <c r="Y14" s="74">
        <v>4911</v>
      </c>
      <c r="Z14" s="74">
        <v>812</v>
      </c>
      <c r="AA14" s="74">
        <v>2362</v>
      </c>
      <c r="AB14" s="74">
        <v>95</v>
      </c>
      <c r="AC14" s="74">
        <v>263</v>
      </c>
      <c r="AD14" s="74">
        <v>160</v>
      </c>
      <c r="AE14" s="74">
        <v>501</v>
      </c>
      <c r="AF14" s="103">
        <v>388</v>
      </c>
      <c r="AG14" s="74">
        <v>960</v>
      </c>
      <c r="AH14" s="74">
        <v>67.62</v>
      </c>
      <c r="AI14" s="74">
        <v>205.91</v>
      </c>
      <c r="AJ14" s="74">
        <v>515.87</v>
      </c>
      <c r="AK14" s="74">
        <v>497.68</v>
      </c>
      <c r="AL14" s="74">
        <v>15</v>
      </c>
      <c r="AM14" s="74">
        <v>37</v>
      </c>
      <c r="AN14" s="74">
        <v>584</v>
      </c>
      <c r="AO14" s="74">
        <v>1132</v>
      </c>
      <c r="AP14" s="74">
        <v>56</v>
      </c>
      <c r="AQ14" s="74">
        <v>196</v>
      </c>
      <c r="AR14" s="74">
        <v>717</v>
      </c>
      <c r="AS14" s="74">
        <v>1826</v>
      </c>
      <c r="AT14" s="74">
        <v>277</v>
      </c>
      <c r="AU14" s="74">
        <v>744</v>
      </c>
      <c r="AV14" s="74">
        <v>363</v>
      </c>
      <c r="AW14" s="74">
        <v>1121</v>
      </c>
      <c r="AX14" s="74">
        <v>236</v>
      </c>
      <c r="AY14" s="74">
        <v>702</v>
      </c>
      <c r="AZ14" s="74">
        <v>170</v>
      </c>
      <c r="BA14" s="74">
        <v>381</v>
      </c>
      <c r="BB14" s="74">
        <v>704</v>
      </c>
      <c r="BC14" s="74">
        <v>2014</v>
      </c>
      <c r="BD14" s="74">
        <v>539</v>
      </c>
      <c r="BE14" s="74">
        <v>1506</v>
      </c>
      <c r="BF14" s="74">
        <v>419</v>
      </c>
      <c r="BG14" s="74">
        <v>713</v>
      </c>
      <c r="BH14" s="74">
        <v>1596</v>
      </c>
      <c r="BI14" s="74">
        <v>2318</v>
      </c>
      <c r="BJ14" s="74">
        <v>202</v>
      </c>
      <c r="BK14" s="74">
        <v>1176</v>
      </c>
      <c r="BL14" s="102">
        <f t="shared" si="0"/>
        <v>13908.17</v>
      </c>
      <c r="BM14" s="102">
        <f t="shared" si="1"/>
        <v>34614.149999999994</v>
      </c>
    </row>
    <row r="15" spans="1:65" x14ac:dyDescent="0.25">
      <c r="A15" s="104" t="s">
        <v>31</v>
      </c>
      <c r="B15" s="74">
        <f>B17-B16-B14-B13-B12-B11-B10-B9-B8-B7-B6-B5</f>
        <v>1978</v>
      </c>
      <c r="C15" s="74">
        <f t="shared" ref="C15:BK15" si="2">C17-C16-C14-C13-C12-C11-C10-C9-C8-C7-C6-C5</f>
        <v>4754</v>
      </c>
      <c r="D15" s="74">
        <f t="shared" si="2"/>
        <v>2873</v>
      </c>
      <c r="E15" s="74">
        <f t="shared" si="2"/>
        <v>12014</v>
      </c>
      <c r="F15" s="74">
        <f t="shared" si="2"/>
        <v>3226</v>
      </c>
      <c r="G15" s="74">
        <f t="shared" si="2"/>
        <v>12249</v>
      </c>
      <c r="H15" s="74">
        <f t="shared" si="2"/>
        <v>37109</v>
      </c>
      <c r="I15" s="74">
        <f t="shared" si="2"/>
        <v>102408</v>
      </c>
      <c r="J15" s="74">
        <f t="shared" si="2"/>
        <v>1669</v>
      </c>
      <c r="K15" s="74">
        <f t="shared" si="2"/>
        <v>5194</v>
      </c>
      <c r="L15" s="74">
        <f t="shared" si="2"/>
        <v>10941</v>
      </c>
      <c r="M15" s="74">
        <f t="shared" si="2"/>
        <v>32716</v>
      </c>
      <c r="N15" s="74">
        <f t="shared" si="2"/>
        <v>5224</v>
      </c>
      <c r="O15" s="74">
        <f t="shared" si="2"/>
        <v>15057</v>
      </c>
      <c r="P15" s="74">
        <f t="shared" si="2"/>
        <v>704.77999999999838</v>
      </c>
      <c r="Q15" s="74">
        <f t="shared" si="2"/>
        <v>3098.3150000000005</v>
      </c>
      <c r="R15" s="74">
        <f t="shared" si="2"/>
        <v>694.54000000000065</v>
      </c>
      <c r="S15" s="74">
        <f t="shared" si="2"/>
        <v>1864.87</v>
      </c>
      <c r="T15" s="74">
        <f t="shared" si="2"/>
        <v>8702.7200000000012</v>
      </c>
      <c r="U15" s="74">
        <f t="shared" si="2"/>
        <v>21275.67</v>
      </c>
      <c r="V15" s="74">
        <f t="shared" si="2"/>
        <v>6964</v>
      </c>
      <c r="W15" s="74">
        <f t="shared" si="2"/>
        <v>19630</v>
      </c>
      <c r="X15" s="74">
        <f t="shared" si="2"/>
        <v>66620</v>
      </c>
      <c r="Y15" s="74">
        <f t="shared" si="2"/>
        <v>174555</v>
      </c>
      <c r="Z15" s="74">
        <f t="shared" si="2"/>
        <v>3870</v>
      </c>
      <c r="AA15" s="74">
        <f t="shared" si="2"/>
        <v>8632</v>
      </c>
      <c r="AB15" s="74">
        <f t="shared" si="2"/>
        <v>1809</v>
      </c>
      <c r="AC15" s="74">
        <f t="shared" si="2"/>
        <v>4765</v>
      </c>
      <c r="AD15" s="74">
        <f t="shared" si="2"/>
        <v>8150</v>
      </c>
      <c r="AE15" s="74">
        <f t="shared" si="2"/>
        <v>19830</v>
      </c>
      <c r="AF15" s="74">
        <f t="shared" si="2"/>
        <v>1399</v>
      </c>
      <c r="AG15" s="74">
        <f t="shared" si="2"/>
        <v>3643</v>
      </c>
      <c r="AH15" s="74">
        <f t="shared" si="2"/>
        <v>1898.7899999999981</v>
      </c>
      <c r="AI15" s="74">
        <f t="shared" si="2"/>
        <v>4528.9999999999964</v>
      </c>
      <c r="AJ15" s="74">
        <f t="shared" si="2"/>
        <v>10985.200000000012</v>
      </c>
      <c r="AK15" s="74">
        <f t="shared" si="2"/>
        <v>-268609.97000000003</v>
      </c>
      <c r="AL15" s="74">
        <f t="shared" si="2"/>
        <v>300</v>
      </c>
      <c r="AM15" s="74">
        <f t="shared" si="2"/>
        <v>816</v>
      </c>
      <c r="AN15" s="74">
        <f t="shared" si="2"/>
        <v>1578</v>
      </c>
      <c r="AO15" s="74">
        <f t="shared" si="2"/>
        <v>4047</v>
      </c>
      <c r="AP15" s="74">
        <f t="shared" si="2"/>
        <v>468</v>
      </c>
      <c r="AQ15" s="74">
        <f t="shared" si="2"/>
        <v>1506</v>
      </c>
      <c r="AR15" s="74">
        <f t="shared" si="2"/>
        <v>2104</v>
      </c>
      <c r="AS15" s="74">
        <f t="shared" si="2"/>
        <v>12589</v>
      </c>
      <c r="AT15" s="74">
        <f t="shared" si="2"/>
        <v>8867</v>
      </c>
      <c r="AU15" s="74">
        <f t="shared" si="2"/>
        <v>18089</v>
      </c>
      <c r="AV15" s="74">
        <f t="shared" si="2"/>
        <v>7704</v>
      </c>
      <c r="AW15" s="74">
        <f t="shared" si="2"/>
        <v>24730</v>
      </c>
      <c r="AX15" s="74">
        <f t="shared" si="2"/>
        <v>10991</v>
      </c>
      <c r="AY15" s="74">
        <f t="shared" si="2"/>
        <v>28809</v>
      </c>
      <c r="AZ15" s="74">
        <f t="shared" si="2"/>
        <v>5377</v>
      </c>
      <c r="BA15" s="74">
        <f t="shared" si="2"/>
        <v>15145</v>
      </c>
      <c r="BB15" s="74">
        <f t="shared" si="2"/>
        <v>5065</v>
      </c>
      <c r="BC15" s="74">
        <f t="shared" si="2"/>
        <v>15004</v>
      </c>
      <c r="BD15" s="74">
        <f t="shared" si="2"/>
        <v>24229</v>
      </c>
      <c r="BE15" s="74">
        <f t="shared" si="2"/>
        <v>50328</v>
      </c>
      <c r="BF15" s="74">
        <f t="shared" si="2"/>
        <v>5135</v>
      </c>
      <c r="BG15" s="74">
        <f t="shared" si="2"/>
        <v>12713</v>
      </c>
      <c r="BH15" s="74">
        <f t="shared" si="2"/>
        <v>9121</v>
      </c>
      <c r="BI15" s="74">
        <f t="shared" si="2"/>
        <v>25569</v>
      </c>
      <c r="BJ15" s="74">
        <f t="shared" si="2"/>
        <v>3076</v>
      </c>
      <c r="BK15" s="74">
        <f t="shared" si="2"/>
        <v>6246</v>
      </c>
      <c r="BL15" s="102">
        <f t="shared" si="0"/>
        <v>258833.03000000003</v>
      </c>
      <c r="BM15" s="102">
        <f t="shared" si="1"/>
        <v>393195.88499999995</v>
      </c>
    </row>
    <row r="16" spans="1:65" x14ac:dyDescent="0.25">
      <c r="A16" s="101" t="s">
        <v>180</v>
      </c>
      <c r="B16" s="74">
        <v>20</v>
      </c>
      <c r="C16" s="74">
        <v>21</v>
      </c>
      <c r="D16" s="74"/>
      <c r="E16" s="74"/>
      <c r="F16" s="74"/>
      <c r="G16" s="74"/>
      <c r="H16" s="74">
        <v>1268</v>
      </c>
      <c r="I16" s="74">
        <v>3387</v>
      </c>
      <c r="J16" s="74">
        <v>40</v>
      </c>
      <c r="K16" s="74">
        <v>146</v>
      </c>
      <c r="L16" s="74">
        <v>3</v>
      </c>
      <c r="M16" s="74">
        <v>8</v>
      </c>
      <c r="N16" s="74">
        <v>168</v>
      </c>
      <c r="O16" s="74">
        <v>236</v>
      </c>
      <c r="P16" s="74"/>
      <c r="Q16" s="74"/>
      <c r="R16" s="74">
        <v>31.7</v>
      </c>
      <c r="S16" s="74">
        <v>50.08</v>
      </c>
      <c r="T16" s="74">
        <v>100.12</v>
      </c>
      <c r="U16" s="74">
        <v>214.38</v>
      </c>
      <c r="V16" s="74">
        <v>313</v>
      </c>
      <c r="W16" s="74">
        <v>715</v>
      </c>
      <c r="X16" s="74">
        <v>1382</v>
      </c>
      <c r="Y16" s="74">
        <v>3286</v>
      </c>
      <c r="Z16" s="74">
        <v>76</v>
      </c>
      <c r="AA16" s="74">
        <v>200</v>
      </c>
      <c r="AB16" s="74"/>
      <c r="AC16" s="74"/>
      <c r="AD16" s="74">
        <v>96</v>
      </c>
      <c r="AE16" s="74">
        <v>421</v>
      </c>
      <c r="AF16" s="103"/>
      <c r="AG16" s="74"/>
      <c r="AH16" s="74"/>
      <c r="AI16" s="74"/>
      <c r="AJ16" s="74">
        <v>608.79999999999995</v>
      </c>
      <c r="AK16" s="74">
        <v>1524.39</v>
      </c>
      <c r="AL16" s="74">
        <v>124</v>
      </c>
      <c r="AM16" s="74">
        <v>140</v>
      </c>
      <c r="AN16" s="74">
        <v>1</v>
      </c>
      <c r="AO16" s="74">
        <v>2</v>
      </c>
      <c r="AP16" s="74">
        <v>22</v>
      </c>
      <c r="AQ16" s="74">
        <v>28</v>
      </c>
      <c r="AR16" s="74">
        <v>407</v>
      </c>
      <c r="AS16" s="74">
        <v>1054</v>
      </c>
      <c r="AT16" s="74">
        <v>6</v>
      </c>
      <c r="AU16" s="74">
        <v>15</v>
      </c>
      <c r="AV16" s="74">
        <v>550</v>
      </c>
      <c r="AW16" s="74">
        <v>1447</v>
      </c>
      <c r="AX16" s="74">
        <v>66</v>
      </c>
      <c r="AY16" s="74">
        <v>101</v>
      </c>
      <c r="AZ16" s="74"/>
      <c r="BA16" s="74"/>
      <c r="BB16" s="74">
        <v>340</v>
      </c>
      <c r="BC16" s="74">
        <v>415</v>
      </c>
      <c r="BD16" s="74">
        <v>5425</v>
      </c>
      <c r="BE16" s="74">
        <v>8404</v>
      </c>
      <c r="BF16" s="74"/>
      <c r="BG16" s="74"/>
      <c r="BH16" s="74"/>
      <c r="BI16" s="74"/>
      <c r="BJ16" s="74"/>
      <c r="BK16" s="74"/>
      <c r="BL16" s="102">
        <f t="shared" si="0"/>
        <v>11047.619999999999</v>
      </c>
      <c r="BM16" s="102">
        <f t="shared" si="1"/>
        <v>21814.85</v>
      </c>
    </row>
    <row r="17" spans="1:65" s="7" customFormat="1" x14ac:dyDescent="0.25">
      <c r="A17" s="105" t="s">
        <v>40</v>
      </c>
      <c r="B17" s="105">
        <v>18113</v>
      </c>
      <c r="C17" s="105">
        <v>52137</v>
      </c>
      <c r="D17" s="105">
        <v>17927</v>
      </c>
      <c r="E17" s="105">
        <v>66835</v>
      </c>
      <c r="F17" s="105">
        <v>9762</v>
      </c>
      <c r="G17" s="105">
        <v>29786</v>
      </c>
      <c r="H17" s="105">
        <v>67955</v>
      </c>
      <c r="I17" s="105">
        <v>192560</v>
      </c>
      <c r="J17" s="105">
        <v>30304</v>
      </c>
      <c r="K17" s="105">
        <v>89977</v>
      </c>
      <c r="L17" s="105">
        <v>44055</v>
      </c>
      <c r="M17" s="105">
        <v>120812</v>
      </c>
      <c r="N17" s="105">
        <v>61294</v>
      </c>
      <c r="O17" s="105">
        <v>153358</v>
      </c>
      <c r="P17" s="105">
        <v>6352.46</v>
      </c>
      <c r="Q17" s="105">
        <v>21377.29</v>
      </c>
      <c r="R17" s="105">
        <v>4977.03</v>
      </c>
      <c r="S17" s="105">
        <v>14743.27</v>
      </c>
      <c r="T17" s="105">
        <v>29655.66</v>
      </c>
      <c r="U17" s="105">
        <v>79810.41</v>
      </c>
      <c r="V17" s="105">
        <v>63889</v>
      </c>
      <c r="W17" s="105">
        <v>180938</v>
      </c>
      <c r="X17" s="105">
        <v>124482</v>
      </c>
      <c r="Y17" s="105">
        <v>339551</v>
      </c>
      <c r="Z17" s="105">
        <v>32176</v>
      </c>
      <c r="AA17" s="105">
        <v>83405</v>
      </c>
      <c r="AB17" s="105">
        <v>9699</v>
      </c>
      <c r="AC17" s="105">
        <v>26441</v>
      </c>
      <c r="AD17" s="105">
        <v>15853</v>
      </c>
      <c r="AE17" s="105">
        <v>42902</v>
      </c>
      <c r="AF17" s="105">
        <v>26380</v>
      </c>
      <c r="AG17" s="105">
        <v>69587</v>
      </c>
      <c r="AH17" s="105">
        <v>15886.63</v>
      </c>
      <c r="AI17" s="105">
        <v>36899.54</v>
      </c>
      <c r="AJ17" s="105">
        <v>91928.11</v>
      </c>
      <c r="AK17" s="105">
        <v>91928.11</v>
      </c>
      <c r="AL17" s="105">
        <v>1171</v>
      </c>
      <c r="AM17" s="105">
        <v>3596</v>
      </c>
      <c r="AN17" s="105">
        <v>31457</v>
      </c>
      <c r="AO17" s="105">
        <v>82383</v>
      </c>
      <c r="AP17" s="105">
        <v>5281</v>
      </c>
      <c r="AQ17" s="105">
        <v>14338</v>
      </c>
      <c r="AR17" s="105">
        <v>62365</v>
      </c>
      <c r="AS17" s="105">
        <v>164315</v>
      </c>
      <c r="AT17" s="105">
        <v>20881</v>
      </c>
      <c r="AU17" s="105">
        <v>56874</v>
      </c>
      <c r="AV17" s="105">
        <v>37168</v>
      </c>
      <c r="AW17" s="105">
        <v>107401</v>
      </c>
      <c r="AX17" s="105">
        <v>16683</v>
      </c>
      <c r="AY17" s="105">
        <v>45503</v>
      </c>
      <c r="AZ17" s="105">
        <v>51102</v>
      </c>
      <c r="BA17" s="105">
        <v>144365</v>
      </c>
      <c r="BB17" s="105">
        <v>62748</v>
      </c>
      <c r="BC17" s="105">
        <v>187826</v>
      </c>
      <c r="BD17" s="105">
        <v>123185</v>
      </c>
      <c r="BE17" s="105">
        <v>313839</v>
      </c>
      <c r="BF17" s="105">
        <v>78473</v>
      </c>
      <c r="BG17" s="105">
        <v>402900</v>
      </c>
      <c r="BH17" s="105">
        <v>235642</v>
      </c>
      <c r="BI17" s="105">
        <v>398295</v>
      </c>
      <c r="BJ17" s="105">
        <v>13326</v>
      </c>
      <c r="BK17" s="105">
        <v>38478</v>
      </c>
      <c r="BL17" s="105">
        <f t="shared" si="0"/>
        <v>1410170.89</v>
      </c>
      <c r="BM17" s="105">
        <f t="shared" si="1"/>
        <v>3653160.62</v>
      </c>
    </row>
  </sheetData>
  <mergeCells count="32">
    <mergeCell ref="BF3:BG3"/>
    <mergeCell ref="BH3:BI3"/>
    <mergeCell ref="BJ3:BK3"/>
    <mergeCell ref="BL3:BM3"/>
    <mergeCell ref="BD3:BE3"/>
    <mergeCell ref="AZ3:BA3"/>
    <mergeCell ref="AH3:AI3"/>
    <mergeCell ref="AJ3:AK3"/>
    <mergeCell ref="AL3:AM3"/>
    <mergeCell ref="AN3:AO3"/>
    <mergeCell ref="AP3:AQ3"/>
    <mergeCell ref="BB3:BC3"/>
    <mergeCell ref="AF3:AG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R3:AS3"/>
    <mergeCell ref="AT3:AU3"/>
    <mergeCell ref="AV3:AW3"/>
    <mergeCell ref="AX3:AY3"/>
    <mergeCell ref="J3:K3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2" width="16" style="6" customWidth="1"/>
    <col min="33" max="33" width="16" style="7" customWidth="1"/>
    <col min="34" max="16384" width="9.140625" style="6"/>
  </cols>
  <sheetData>
    <row r="1" spans="1:33" ht="18.75" x14ac:dyDescent="0.3">
      <c r="A1" s="8" t="s">
        <v>301</v>
      </c>
    </row>
    <row r="2" spans="1:33" x14ac:dyDescent="0.25">
      <c r="A2" s="6" t="s">
        <v>98</v>
      </c>
    </row>
    <row r="3" spans="1:33" x14ac:dyDescent="0.25">
      <c r="A3" s="86" t="s">
        <v>0</v>
      </c>
      <c r="B3" s="87" t="s">
        <v>1</v>
      </c>
      <c r="C3" s="87" t="s">
        <v>232</v>
      </c>
      <c r="D3" s="87" t="s">
        <v>2</v>
      </c>
      <c r="E3" s="87" t="s">
        <v>3</v>
      </c>
      <c r="F3" s="87" t="s">
        <v>241</v>
      </c>
      <c r="G3" s="87" t="s">
        <v>233</v>
      </c>
      <c r="H3" s="87" t="s">
        <v>244</v>
      </c>
      <c r="I3" s="87" t="s">
        <v>5</v>
      </c>
      <c r="J3" s="87" t="s">
        <v>4</v>
      </c>
      <c r="K3" s="87" t="s">
        <v>6</v>
      </c>
      <c r="L3" s="87" t="s">
        <v>7</v>
      </c>
      <c r="M3" s="87" t="s">
        <v>8</v>
      </c>
      <c r="N3" s="87" t="s">
        <v>9</v>
      </c>
      <c r="O3" s="87" t="s">
        <v>240</v>
      </c>
      <c r="P3" s="87" t="s">
        <v>10</v>
      </c>
      <c r="Q3" s="87" t="s">
        <v>11</v>
      </c>
      <c r="R3" s="87" t="s">
        <v>234</v>
      </c>
      <c r="S3" s="87" t="s">
        <v>12</v>
      </c>
      <c r="T3" s="87" t="s">
        <v>235</v>
      </c>
      <c r="U3" s="87" t="s">
        <v>293</v>
      </c>
      <c r="V3" s="87" t="s">
        <v>236</v>
      </c>
      <c r="W3" s="87" t="s">
        <v>239</v>
      </c>
      <c r="X3" s="87" t="s">
        <v>13</v>
      </c>
      <c r="Y3" s="87" t="s">
        <v>14</v>
      </c>
      <c r="Z3" s="87" t="s">
        <v>15</v>
      </c>
      <c r="AA3" s="87" t="s">
        <v>16</v>
      </c>
      <c r="AB3" s="87" t="s">
        <v>17</v>
      </c>
      <c r="AC3" s="87" t="s">
        <v>237</v>
      </c>
      <c r="AD3" s="87" t="s">
        <v>238</v>
      </c>
      <c r="AE3" s="87" t="s">
        <v>18</v>
      </c>
      <c r="AF3" s="87" t="s">
        <v>19</v>
      </c>
      <c r="AG3" s="88" t="s">
        <v>20</v>
      </c>
    </row>
    <row r="4" spans="1:33" x14ac:dyDescent="0.25">
      <c r="A4" s="74" t="s">
        <v>33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>
        <v>6</v>
      </c>
      <c r="AD4" s="74">
        <v>26</v>
      </c>
      <c r="AE4" s="74">
        <v>136</v>
      </c>
      <c r="AF4" s="74"/>
      <c r="AG4" s="89">
        <f t="shared" ref="AG4:AG11" si="0">SUM(B4:AF4)</f>
        <v>168</v>
      </c>
    </row>
    <row r="5" spans="1:33" x14ac:dyDescent="0.25">
      <c r="A5" s="74" t="s">
        <v>34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89">
        <f t="shared" si="0"/>
        <v>0</v>
      </c>
    </row>
    <row r="6" spans="1:33" x14ac:dyDescent="0.25">
      <c r="A6" s="74" t="s">
        <v>35</v>
      </c>
      <c r="B6" s="74"/>
      <c r="C6" s="74">
        <v>225969</v>
      </c>
      <c r="D6" s="74"/>
      <c r="E6" s="74">
        <v>16662</v>
      </c>
      <c r="F6" s="74">
        <f>37692+26468</f>
        <v>64160</v>
      </c>
      <c r="G6" s="74">
        <v>14326</v>
      </c>
      <c r="H6" s="74">
        <v>235654</v>
      </c>
      <c r="I6" s="74"/>
      <c r="J6" s="74"/>
      <c r="K6" s="74"/>
      <c r="L6" s="74">
        <v>141659</v>
      </c>
      <c r="M6" s="74">
        <v>642210</v>
      </c>
      <c r="N6" s="74">
        <v>133838</v>
      </c>
      <c r="O6" s="74"/>
      <c r="P6" s="74">
        <v>74812</v>
      </c>
      <c r="Q6" s="74">
        <v>67173</v>
      </c>
      <c r="R6" s="74">
        <v>42483.35</v>
      </c>
      <c r="S6" s="74"/>
      <c r="T6" s="74"/>
      <c r="U6" s="74">
        <f>12511+20825</f>
        <v>33336</v>
      </c>
      <c r="V6" s="74">
        <v>16903</v>
      </c>
      <c r="W6" s="74">
        <v>77377</v>
      </c>
      <c r="X6" s="74">
        <v>25500</v>
      </c>
      <c r="Y6" s="74">
        <v>134011</v>
      </c>
      <c r="Z6" s="74">
        <v>20</v>
      </c>
      <c r="AA6" s="74">
        <v>598011</v>
      </c>
      <c r="AB6" s="74">
        <v>47054</v>
      </c>
      <c r="AC6" s="74">
        <v>189085</v>
      </c>
      <c r="AD6" s="74"/>
      <c r="AE6" s="74"/>
      <c r="AF6" s="74">
        <v>16762</v>
      </c>
      <c r="AG6" s="89">
        <f t="shared" si="0"/>
        <v>2797005.35</v>
      </c>
    </row>
    <row r="7" spans="1:33" x14ac:dyDescent="0.25">
      <c r="A7" s="74" t="s">
        <v>36</v>
      </c>
      <c r="B7" s="74"/>
      <c r="C7" s="74"/>
      <c r="D7" s="74">
        <v>517230</v>
      </c>
      <c r="E7" s="74"/>
      <c r="F7" s="74"/>
      <c r="G7" s="74">
        <v>85476</v>
      </c>
      <c r="H7" s="74"/>
      <c r="I7" s="74">
        <v>355438.49</v>
      </c>
      <c r="J7" s="74"/>
      <c r="K7" s="74"/>
      <c r="L7" s="74"/>
      <c r="M7" s="74">
        <v>6108</v>
      </c>
      <c r="N7" s="74"/>
      <c r="O7" s="74"/>
      <c r="P7" s="74"/>
      <c r="Q7" s="74"/>
      <c r="R7" s="74"/>
      <c r="S7" s="74"/>
      <c r="T7" s="74"/>
      <c r="U7" s="74"/>
      <c r="V7" s="74"/>
      <c r="W7" s="74"/>
      <c r="X7" s="74">
        <v>1000</v>
      </c>
      <c r="Y7" s="74"/>
      <c r="Z7" s="74"/>
      <c r="AA7" s="74"/>
      <c r="AB7" s="74">
        <v>3187</v>
      </c>
      <c r="AC7" s="74">
        <f>1478471+90044+(-4944)</f>
        <v>1563571</v>
      </c>
      <c r="AD7" s="74"/>
      <c r="AE7" s="74"/>
      <c r="AF7" s="74"/>
      <c r="AG7" s="89">
        <f t="shared" si="0"/>
        <v>2532010.4900000002</v>
      </c>
    </row>
    <row r="8" spans="1:33" x14ac:dyDescent="0.25">
      <c r="A8" s="74" t="s">
        <v>37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>
        <v>12</v>
      </c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89">
        <f t="shared" si="0"/>
        <v>12</v>
      </c>
    </row>
    <row r="9" spans="1:33" x14ac:dyDescent="0.25">
      <c r="A9" s="74" t="s">
        <v>38</v>
      </c>
      <c r="B9" s="74">
        <f>B11-B10-B8-B7-B6-B5-B4</f>
        <v>1939</v>
      </c>
      <c r="C9" s="74">
        <f t="shared" ref="C9:AB9" si="1">C11-C10-C8-C7-C6-C5-C4</f>
        <v>19</v>
      </c>
      <c r="D9" s="74">
        <f>D11-D10-D8-D7-D6-D5-D4</f>
        <v>0</v>
      </c>
      <c r="E9" s="74">
        <f t="shared" si="1"/>
        <v>0</v>
      </c>
      <c r="F9" s="74">
        <f t="shared" si="1"/>
        <v>133</v>
      </c>
      <c r="G9" s="74">
        <f t="shared" si="1"/>
        <v>0</v>
      </c>
      <c r="H9" s="74">
        <f t="shared" si="1"/>
        <v>2580</v>
      </c>
      <c r="I9" s="74">
        <f t="shared" si="1"/>
        <v>6000</v>
      </c>
      <c r="J9" s="74">
        <f t="shared" si="1"/>
        <v>0</v>
      </c>
      <c r="K9" s="74">
        <f t="shared" si="1"/>
        <v>0</v>
      </c>
      <c r="L9" s="74">
        <f t="shared" si="1"/>
        <v>33595</v>
      </c>
      <c r="M9" s="74">
        <f t="shared" si="1"/>
        <v>0</v>
      </c>
      <c r="N9" s="74">
        <f t="shared" si="1"/>
        <v>0</v>
      </c>
      <c r="O9" s="74">
        <f t="shared" si="1"/>
        <v>0</v>
      </c>
      <c r="P9" s="74">
        <f t="shared" si="1"/>
        <v>0</v>
      </c>
      <c r="Q9" s="74">
        <f t="shared" si="1"/>
        <v>0</v>
      </c>
      <c r="R9" s="74">
        <f t="shared" si="1"/>
        <v>0</v>
      </c>
      <c r="S9" s="74">
        <f t="shared" si="1"/>
        <v>1547.57</v>
      </c>
      <c r="T9" s="74">
        <f t="shared" si="1"/>
        <v>0</v>
      </c>
      <c r="U9" s="74">
        <f t="shared" si="1"/>
        <v>42</v>
      </c>
      <c r="V9" s="74">
        <f t="shared" si="1"/>
        <v>0</v>
      </c>
      <c r="W9" s="74">
        <f t="shared" si="1"/>
        <v>2076</v>
      </c>
      <c r="X9" s="74">
        <f t="shared" si="1"/>
        <v>1260</v>
      </c>
      <c r="Y9" s="74">
        <f t="shared" si="1"/>
        <v>-1</v>
      </c>
      <c r="Z9" s="74">
        <f t="shared" si="1"/>
        <v>-1</v>
      </c>
      <c r="AA9" s="74">
        <f t="shared" si="1"/>
        <v>0</v>
      </c>
      <c r="AB9" s="74">
        <f t="shared" si="1"/>
        <v>2776</v>
      </c>
      <c r="AC9" s="74">
        <f t="shared" ref="AC9:AF9" si="2">AC11-AC10-AC8-AC7-AC6-AC5-AC4</f>
        <v>181422</v>
      </c>
      <c r="AD9" s="74">
        <f t="shared" si="2"/>
        <v>0</v>
      </c>
      <c r="AE9" s="74">
        <f t="shared" si="2"/>
        <v>13371</v>
      </c>
      <c r="AF9" s="74">
        <f t="shared" si="2"/>
        <v>0</v>
      </c>
      <c r="AG9" s="89">
        <f t="shared" si="0"/>
        <v>246758.57</v>
      </c>
    </row>
    <row r="10" spans="1:33" x14ac:dyDescent="0.25">
      <c r="A10" s="74" t="s">
        <v>39</v>
      </c>
      <c r="B10" s="74"/>
      <c r="C10" s="74"/>
      <c r="D10" s="74">
        <v>48072</v>
      </c>
      <c r="E10" s="74">
        <v>898949</v>
      </c>
      <c r="F10" s="74">
        <v>6473</v>
      </c>
      <c r="G10" s="74">
        <v>78108</v>
      </c>
      <c r="H10" s="74"/>
      <c r="I10" s="74">
        <v>181212.34</v>
      </c>
      <c r="J10" s="74"/>
      <c r="K10" s="74">
        <v>42596.33</v>
      </c>
      <c r="L10" s="74">
        <v>149424</v>
      </c>
      <c r="M10" s="74">
        <v>297905</v>
      </c>
      <c r="N10" s="74">
        <v>220656</v>
      </c>
      <c r="O10" s="74"/>
      <c r="P10" s="74"/>
      <c r="Q10" s="74"/>
      <c r="R10" s="74"/>
      <c r="S10" s="74"/>
      <c r="T10" s="74"/>
      <c r="U10" s="74"/>
      <c r="V10" s="74"/>
      <c r="W10" s="74">
        <v>146935</v>
      </c>
      <c r="X10" s="74">
        <v>76512</v>
      </c>
      <c r="Y10" s="74">
        <v>144814</v>
      </c>
      <c r="Z10" s="74">
        <v>207383</v>
      </c>
      <c r="AA10" s="74"/>
      <c r="AB10" s="74">
        <v>238677</v>
      </c>
      <c r="AC10" s="74"/>
      <c r="AD10" s="74"/>
      <c r="AE10" s="74"/>
      <c r="AF10" s="74">
        <v>69860</v>
      </c>
      <c r="AG10" s="89">
        <f t="shared" si="0"/>
        <v>2807576.67</v>
      </c>
    </row>
    <row r="11" spans="1:33" s="7" customFormat="1" x14ac:dyDescent="0.25">
      <c r="A11" s="76" t="s">
        <v>40</v>
      </c>
      <c r="B11" s="76">
        <v>1939</v>
      </c>
      <c r="C11" s="76">
        <v>225988</v>
      </c>
      <c r="D11" s="76">
        <v>565302</v>
      </c>
      <c r="E11" s="76">
        <v>915611</v>
      </c>
      <c r="F11" s="76">
        <v>70766</v>
      </c>
      <c r="G11" s="76">
        <v>177910</v>
      </c>
      <c r="H11" s="76">
        <v>238234</v>
      </c>
      <c r="I11" s="76">
        <v>542650.82999999996</v>
      </c>
      <c r="J11" s="76"/>
      <c r="K11" s="76">
        <v>42596.33</v>
      </c>
      <c r="L11" s="76">
        <v>324678</v>
      </c>
      <c r="M11" s="76">
        <v>946223</v>
      </c>
      <c r="N11" s="76">
        <v>354506</v>
      </c>
      <c r="O11" s="76"/>
      <c r="P11" s="76">
        <v>74812</v>
      </c>
      <c r="Q11" s="76">
        <v>67173</v>
      </c>
      <c r="R11" s="76">
        <v>42483.35</v>
      </c>
      <c r="S11" s="76">
        <v>1547.57</v>
      </c>
      <c r="T11" s="76"/>
      <c r="U11" s="76">
        <v>33378</v>
      </c>
      <c r="V11" s="76">
        <v>16903</v>
      </c>
      <c r="W11" s="76">
        <v>226388</v>
      </c>
      <c r="X11" s="76">
        <v>104272</v>
      </c>
      <c r="Y11" s="76">
        <v>278824</v>
      </c>
      <c r="Z11" s="76">
        <v>207402</v>
      </c>
      <c r="AA11" s="76">
        <v>598011</v>
      </c>
      <c r="AB11" s="76">
        <v>291694</v>
      </c>
      <c r="AC11" s="76">
        <v>1934084</v>
      </c>
      <c r="AD11" s="76">
        <v>26</v>
      </c>
      <c r="AE11" s="76">
        <v>13507</v>
      </c>
      <c r="AF11" s="76">
        <v>86622</v>
      </c>
      <c r="AG11" s="90">
        <f t="shared" si="0"/>
        <v>8383531.0800000001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32" width="16" style="6" customWidth="1"/>
    <col min="33" max="16384" width="9.140625" style="6"/>
  </cols>
  <sheetData>
    <row r="1" spans="1:32" ht="18.75" x14ac:dyDescent="0.3">
      <c r="A1" s="8" t="s">
        <v>302</v>
      </c>
    </row>
    <row r="2" spans="1:32" x14ac:dyDescent="0.25">
      <c r="A2" s="5" t="s">
        <v>98</v>
      </c>
    </row>
    <row r="3" spans="1:32" x14ac:dyDescent="0.25">
      <c r="A3" s="1" t="s">
        <v>0</v>
      </c>
      <c r="B3" s="64" t="s">
        <v>1</v>
      </c>
      <c r="C3" s="64" t="s">
        <v>232</v>
      </c>
      <c r="D3" s="64" t="s">
        <v>2</v>
      </c>
      <c r="E3" s="64" t="s">
        <v>3</v>
      </c>
      <c r="F3" s="64" t="s">
        <v>241</v>
      </c>
      <c r="G3" s="64" t="s">
        <v>233</v>
      </c>
      <c r="H3" s="64" t="s">
        <v>244</v>
      </c>
      <c r="I3" s="64" t="s">
        <v>5</v>
      </c>
      <c r="J3" s="64" t="s">
        <v>4</v>
      </c>
      <c r="K3" s="64" t="s">
        <v>6</v>
      </c>
      <c r="L3" s="64" t="s">
        <v>7</v>
      </c>
      <c r="M3" s="64" t="s">
        <v>8</v>
      </c>
      <c r="N3" s="64" t="s">
        <v>9</v>
      </c>
      <c r="O3" s="64" t="s">
        <v>240</v>
      </c>
      <c r="P3" s="64" t="s">
        <v>10</v>
      </c>
      <c r="Q3" s="64" t="s">
        <v>11</v>
      </c>
      <c r="R3" s="64" t="s">
        <v>234</v>
      </c>
      <c r="S3" s="64" t="s">
        <v>12</v>
      </c>
      <c r="T3" s="64" t="s">
        <v>235</v>
      </c>
      <c r="U3" s="64" t="s">
        <v>293</v>
      </c>
      <c r="V3" s="64" t="s">
        <v>236</v>
      </c>
      <c r="W3" s="64" t="s">
        <v>239</v>
      </c>
      <c r="X3" s="64" t="s">
        <v>13</v>
      </c>
      <c r="Y3" s="64" t="s">
        <v>14</v>
      </c>
      <c r="Z3" s="64" t="s">
        <v>15</v>
      </c>
      <c r="AA3" s="64" t="s">
        <v>16</v>
      </c>
      <c r="AB3" s="64" t="s">
        <v>17</v>
      </c>
      <c r="AC3" s="64" t="s">
        <v>237</v>
      </c>
      <c r="AD3" s="64" t="s">
        <v>238</v>
      </c>
      <c r="AE3" s="64" t="s">
        <v>18</v>
      </c>
      <c r="AF3" s="64" t="s">
        <v>19</v>
      </c>
    </row>
    <row r="4" spans="1:32" x14ac:dyDescent="0.25">
      <c r="A4" s="9" t="s">
        <v>264</v>
      </c>
      <c r="B4" s="74"/>
      <c r="C4" s="74"/>
      <c r="D4" s="74"/>
      <c r="E4" s="74"/>
      <c r="F4" s="74"/>
      <c r="G4" s="74">
        <v>10000</v>
      </c>
      <c r="H4" s="74"/>
      <c r="I4" s="74"/>
      <c r="J4" s="74"/>
      <c r="K4" s="74">
        <v>9500</v>
      </c>
      <c r="L4" s="74">
        <v>52900</v>
      </c>
      <c r="M4" s="74">
        <v>3500</v>
      </c>
      <c r="N4" s="74"/>
      <c r="O4" s="74"/>
      <c r="P4" s="74"/>
      <c r="Q4" s="74">
        <v>10000</v>
      </c>
      <c r="R4" s="74">
        <v>11100</v>
      </c>
      <c r="S4" s="74">
        <v>89500</v>
      </c>
      <c r="T4" s="74"/>
      <c r="U4" s="74">
        <v>25000</v>
      </c>
      <c r="V4" s="74"/>
      <c r="W4" s="74">
        <v>23000</v>
      </c>
      <c r="X4" s="74">
        <v>12600</v>
      </c>
      <c r="Y4" s="74"/>
      <c r="Z4" s="74"/>
      <c r="AA4" s="74">
        <v>47000</v>
      </c>
      <c r="AB4" s="74">
        <v>18500</v>
      </c>
      <c r="AC4" s="74"/>
      <c r="AD4" s="74">
        <v>75000</v>
      </c>
      <c r="AE4" s="74">
        <v>90000</v>
      </c>
      <c r="AF4" s="74"/>
    </row>
    <row r="5" spans="1:32" x14ac:dyDescent="0.25">
      <c r="A5" s="9" t="s">
        <v>265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>
        <v>9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x14ac:dyDescent="0.25">
      <c r="A6" s="9" t="s">
        <v>266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2" x14ac:dyDescent="0.25">
      <c r="A7" s="9" t="s">
        <v>31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2" s="7" customFormat="1" x14ac:dyDescent="0.25">
      <c r="A8" s="10" t="s">
        <v>40</v>
      </c>
      <c r="B8" s="10"/>
      <c r="C8" s="10"/>
      <c r="D8" s="10"/>
      <c r="E8" s="10"/>
      <c r="F8" s="10"/>
      <c r="G8" s="10">
        <v>10000</v>
      </c>
      <c r="H8" s="10"/>
      <c r="I8" s="10"/>
      <c r="J8" s="10"/>
      <c r="K8" s="10">
        <v>9500</v>
      </c>
      <c r="L8" s="10">
        <v>52900</v>
      </c>
      <c r="M8" s="10">
        <v>3500</v>
      </c>
      <c r="N8" s="10"/>
      <c r="O8" s="10"/>
      <c r="P8" s="10"/>
      <c r="Q8" s="10">
        <v>10009</v>
      </c>
      <c r="R8" s="10">
        <v>11100</v>
      </c>
      <c r="S8" s="10">
        <v>89500</v>
      </c>
      <c r="T8" s="10"/>
      <c r="U8" s="10">
        <v>25000</v>
      </c>
      <c r="V8" s="10"/>
      <c r="W8" s="10">
        <v>23000</v>
      </c>
      <c r="X8" s="10">
        <v>12600</v>
      </c>
      <c r="Y8" s="10"/>
      <c r="Z8" s="10"/>
      <c r="AA8" s="10">
        <v>47000</v>
      </c>
      <c r="AB8" s="10">
        <v>18500</v>
      </c>
      <c r="AC8" s="10"/>
      <c r="AD8" s="10">
        <v>75000</v>
      </c>
      <c r="AE8" s="10">
        <v>90000</v>
      </c>
      <c r="AF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NL11</vt:lpstr>
      <vt:lpstr>NL12</vt:lpstr>
      <vt:lpstr>NL13</vt:lpstr>
      <vt:lpstr>NL14</vt:lpstr>
      <vt:lpstr>NL15</vt:lpstr>
      <vt:lpstr>NL17</vt:lpstr>
      <vt:lpstr>NL18</vt:lpstr>
      <vt:lpstr>NL20</vt:lpstr>
      <vt:lpstr>NL26</vt:lpstr>
      <vt:lpstr>NL33</vt:lpstr>
      <vt:lpstr>NL36</vt:lpstr>
      <vt:lpstr>NL44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2023-07-05T12:44:14Z</dcterms:modified>
</cp:coreProperties>
</file>